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H:\EV_EdSc_WiPaed\z_Orga WiPaed ehem. Hiwi\EV\Unterlagen_fuer_Bearbeitung\"/>
    </mc:Choice>
  </mc:AlternateContent>
  <xr:revisionPtr revIDLastSave="0" documentId="13_ncr:1_{20A41C88-F0DB-4347-8EC2-45440E0201D7}" xr6:coauthVersionLast="36" xr6:coauthVersionMax="36" xr10:uidLastSave="{00000000-0000-0000-0000-000000000000}"/>
  <workbookProtection workbookAlgorithmName="SHA-512" workbookHashValue="mZcB5/seeXz4ne57mQCdlM1GOKdlrJq2URVwO6m7lPLbUNWypasLjsJ4T8t3xH5JXkEu76PwUGD0n0mK72zJ7A==" workbookSaltValue="/XkJY8T4NOxYA/hUSr9XpA==" workbookSpinCount="100000" lockStructure="1"/>
  <bookViews>
    <workbookView xWindow="0" yWindow="0" windowWidth="28800" windowHeight="12390" xr2:uid="{00000000-000D-0000-FFFF-FFFF00000000}"/>
  </bookViews>
  <sheets>
    <sheet name="Formular Notenberechnung Wipäd" sheetId="1" r:id="rId1"/>
  </sheets>
  <definedNames>
    <definedName name="_xlnm._FilterDatabase" localSheetId="0" hidden="1">'Formular Notenberechnung Wipäd'!$M$15:$O$65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" l="1"/>
  <c r="I49" i="1"/>
  <c r="J48" i="1"/>
  <c r="I48" i="1"/>
  <c r="J47" i="1"/>
  <c r="I47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6" i="1"/>
  <c r="I46" i="1"/>
  <c r="J45" i="1"/>
  <c r="I45" i="1"/>
  <c r="J44" i="1"/>
  <c r="I44" i="1"/>
  <c r="J43" i="1"/>
  <c r="I43" i="1"/>
  <c r="J42" i="1"/>
  <c r="I42" i="1"/>
  <c r="J41" i="1"/>
  <c r="I41" i="1"/>
  <c r="I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9" i="1"/>
  <c r="J64" i="1"/>
  <c r="J65" i="1"/>
  <c r="J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9" i="1"/>
  <c r="I64" i="1"/>
  <c r="I65" i="1"/>
  <c r="K49" i="1" l="1"/>
  <c r="K47" i="1"/>
  <c r="K48" i="1"/>
  <c r="K54" i="1"/>
  <c r="K50" i="1"/>
  <c r="K53" i="1"/>
  <c r="K59" i="1"/>
  <c r="K44" i="1"/>
  <c r="K52" i="1"/>
  <c r="K57" i="1"/>
  <c r="K42" i="1"/>
  <c r="K62" i="1"/>
  <c r="K45" i="1"/>
  <c r="K55" i="1"/>
  <c r="K58" i="1"/>
  <c r="K51" i="1"/>
  <c r="K43" i="1"/>
  <c r="K46" i="1"/>
  <c r="K41" i="1"/>
  <c r="K56" i="1"/>
  <c r="K61" i="1"/>
  <c r="K60" i="1"/>
  <c r="K34" i="1"/>
  <c r="K26" i="1"/>
  <c r="K18" i="1"/>
  <c r="K23" i="1"/>
  <c r="K27" i="1"/>
  <c r="K33" i="1"/>
  <c r="K25" i="1"/>
  <c r="K17" i="1"/>
  <c r="K31" i="1"/>
  <c r="K65" i="1"/>
  <c r="K32" i="1"/>
  <c r="K24" i="1"/>
  <c r="K16" i="1"/>
  <c r="K64" i="1"/>
  <c r="K20" i="1"/>
  <c r="K19" i="1"/>
  <c r="K39" i="1"/>
  <c r="K30" i="1"/>
  <c r="K22" i="1"/>
  <c r="K21" i="1"/>
  <c r="K28" i="1"/>
  <c r="K35" i="1"/>
  <c r="K37" i="1"/>
  <c r="K29" i="1"/>
  <c r="K36" i="1"/>
  <c r="L47" i="1" l="1"/>
  <c r="M47" i="1" s="1"/>
  <c r="L49" i="1"/>
  <c r="M49" i="1" s="1"/>
  <c r="L48" i="1"/>
  <c r="M48" i="1" s="1"/>
  <c r="L46" i="1"/>
  <c r="M46" i="1" s="1"/>
  <c r="L50" i="1"/>
  <c r="M50" i="1" s="1"/>
  <c r="L54" i="1"/>
  <c r="M54" i="1" s="1"/>
  <c r="L55" i="1"/>
  <c r="M55" i="1" s="1"/>
  <c r="L45" i="1"/>
  <c r="M45" i="1" s="1"/>
  <c r="L62" i="1"/>
  <c r="M62" i="1" s="1"/>
  <c r="L58" i="1"/>
  <c r="M58" i="1" s="1"/>
  <c r="L42" i="1"/>
  <c r="M42" i="1" s="1"/>
  <c r="L53" i="1"/>
  <c r="M53" i="1" s="1"/>
  <c r="L43" i="1"/>
  <c r="M43" i="1" s="1"/>
  <c r="L51" i="1"/>
  <c r="M51" i="1" s="1"/>
  <c r="L60" i="1"/>
  <c r="M60" i="1" s="1"/>
  <c r="L57" i="1"/>
  <c r="M57" i="1" s="1"/>
  <c r="L61" i="1"/>
  <c r="M61" i="1" s="1"/>
  <c r="L52" i="1"/>
  <c r="M52" i="1" s="1"/>
  <c r="L56" i="1"/>
  <c r="M56" i="1" s="1"/>
  <c r="L44" i="1"/>
  <c r="M44" i="1" s="1"/>
  <c r="L41" i="1"/>
  <c r="M41" i="1" s="1"/>
  <c r="L59" i="1"/>
  <c r="M59" i="1" s="1"/>
  <c r="L26" i="1"/>
  <c r="M26" i="1" s="1"/>
  <c r="L31" i="1"/>
  <c r="M31" i="1" s="1"/>
  <c r="L34" i="1"/>
  <c r="M34" i="1" s="1"/>
  <c r="L29" i="1"/>
  <c r="M29" i="1" s="1"/>
  <c r="L19" i="1"/>
  <c r="M19" i="1" s="1"/>
  <c r="L17" i="1"/>
  <c r="M17" i="1" s="1"/>
  <c r="L37" i="1"/>
  <c r="M37" i="1" s="1"/>
  <c r="L20" i="1"/>
  <c r="M20" i="1" s="1"/>
  <c r="L25" i="1"/>
  <c r="M25" i="1" s="1"/>
  <c r="L30" i="1"/>
  <c r="M30" i="1" s="1"/>
  <c r="L39" i="1"/>
  <c r="M39" i="1" s="1"/>
  <c r="L33" i="1"/>
  <c r="M33" i="1" s="1"/>
  <c r="L16" i="1"/>
  <c r="L21" i="1"/>
  <c r="M21" i="1" s="1"/>
  <c r="L24" i="1"/>
  <c r="M24" i="1" s="1"/>
  <c r="L23" i="1"/>
  <c r="M23" i="1" s="1"/>
  <c r="L65" i="1"/>
  <c r="M65" i="1" s="1"/>
  <c r="L36" i="1"/>
  <c r="M36" i="1" s="1"/>
  <c r="L35" i="1"/>
  <c r="M35" i="1" s="1"/>
  <c r="L64" i="1"/>
  <c r="M64" i="1" s="1"/>
  <c r="L28" i="1"/>
  <c r="M28" i="1" s="1"/>
  <c r="L27" i="1"/>
  <c r="M27" i="1" s="1"/>
  <c r="L22" i="1"/>
  <c r="M22" i="1" s="1"/>
  <c r="L32" i="1"/>
  <c r="M32" i="1" s="1"/>
  <c r="L18" i="1"/>
  <c r="M18" i="1" s="1"/>
  <c r="D67" i="1"/>
  <c r="N49" i="1" l="1"/>
  <c r="N47" i="1"/>
  <c r="N48" i="1"/>
  <c r="N57" i="1"/>
  <c r="O50" i="1"/>
  <c r="N42" i="1"/>
  <c r="N62" i="1"/>
  <c r="N50" i="1"/>
  <c r="N55" i="1"/>
  <c r="N51" i="1"/>
  <c r="N46" i="1"/>
  <c r="N60" i="1"/>
  <c r="N45" i="1"/>
  <c r="N53" i="1"/>
  <c r="N58" i="1"/>
  <c r="N61" i="1"/>
  <c r="O59" i="1"/>
  <c r="N54" i="1"/>
  <c r="O44" i="1"/>
  <c r="O57" i="1"/>
  <c r="N52" i="1"/>
  <c r="N56" i="1"/>
  <c r="N41" i="1"/>
  <c r="N59" i="1"/>
  <c r="N44" i="1"/>
  <c r="N43" i="1"/>
  <c r="O41" i="1"/>
  <c r="O18" i="1"/>
  <c r="O16" i="1"/>
  <c r="O23" i="1"/>
  <c r="O25" i="1"/>
  <c r="O19" i="1"/>
  <c r="O20" i="1"/>
  <c r="O21" i="1"/>
  <c r="O33" i="1"/>
  <c r="O24" i="1"/>
  <c r="O17" i="1"/>
  <c r="M16" i="1"/>
  <c r="O37" i="1" s="1"/>
  <c r="N22" i="1"/>
  <c r="N65" i="1"/>
  <c r="N35" i="1"/>
  <c r="N20" i="1"/>
  <c r="N28" i="1"/>
  <c r="N17" i="1"/>
  <c r="N29" i="1"/>
  <c r="N32" i="1"/>
  <c r="N30" i="1"/>
  <c r="N25" i="1"/>
  <c r="N39" i="1"/>
  <c r="N33" i="1"/>
  <c r="N23" i="1"/>
  <c r="N18" i="1"/>
  <c r="N19" i="1"/>
  <c r="N27" i="1"/>
  <c r="N31" i="1"/>
  <c r="N26" i="1"/>
  <c r="N36" i="1"/>
  <c r="N64" i="1"/>
  <c r="N34" i="1"/>
  <c r="N21" i="1"/>
  <c r="N24" i="1"/>
  <c r="N37" i="1"/>
  <c r="N16" i="1"/>
  <c r="O51" i="1" l="1"/>
  <c r="O42" i="1"/>
  <c r="O53" i="1"/>
  <c r="O45" i="1"/>
  <c r="O61" i="1"/>
  <c r="O46" i="1"/>
  <c r="O55" i="1"/>
  <c r="O48" i="1"/>
  <c r="O60" i="1"/>
  <c r="O52" i="1"/>
  <c r="O54" i="1"/>
  <c r="O62" i="1"/>
  <c r="O47" i="1"/>
  <c r="O58" i="1"/>
  <c r="O43" i="1"/>
  <c r="O56" i="1"/>
  <c r="O49" i="1"/>
  <c r="P43" i="1"/>
  <c r="O31" i="1"/>
  <c r="O34" i="1"/>
  <c r="O32" i="1"/>
  <c r="O28" i="1"/>
  <c r="O26" i="1"/>
  <c r="O29" i="1"/>
  <c r="O30" i="1"/>
  <c r="O22" i="1"/>
  <c r="O27" i="1"/>
  <c r="O35" i="1"/>
  <c r="O65" i="1"/>
  <c r="O64" i="1"/>
  <c r="O36" i="1"/>
  <c r="O39" i="1"/>
  <c r="P19" i="1"/>
  <c r="P16" i="1" l="1"/>
  <c r="D68" i="1"/>
  <c r="F67" i="1" s="1"/>
  <c r="D6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 Mordstein</author>
  </authors>
  <commentList>
    <comment ref="O15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Stefan Mordstein:</t>
        </r>
        <r>
          <rPr>
            <sz val="9"/>
            <color indexed="81"/>
            <rFont val="Segoe UI"/>
            <family val="2"/>
          </rPr>
          <t xml:space="preserve">
Es kann vorkommen, dass a) Berechnungen mit dem Minimum über 100 schlechter Ausfallen wie mit dem Minimum unter 100 und b) Anstelle von genau 100 mehr ECTS berechnet werden (z.B: 94 Credits eingegeben -&gt; dann zwei Module mit gleichen Noten, eines hat 5, eines 6 Credits -&gt; Excel nimmt das erste, das es findet -&gt; Notenberechnung aus 105 Credits statt aus 100, je nach Eingaben des Bewerbers -&gt; kann die Note um 0,1 verschlechtern.
Zum Ausgleich zum Vorteil des Bewerbers sind hier Notenschnitte ab 96 Credits zugelassen -&gt; Excel wählt die bessere der beiden nähesten an 100.
Grenze 96 Credits: Modulgröße nach KMK mind. 5 Credits, d.h. ab 96 wird es keinen Wert 100 mehr geben, sondern einen Annäherungswert darüber -&gt; ab dann wird ein Vergleich beider Annäherungswerte nötig.</t>
        </r>
      </text>
    </comment>
  </commentList>
</comments>
</file>

<file path=xl/sharedStrings.xml><?xml version="1.0" encoding="utf-8"?>
<sst xmlns="http://schemas.openxmlformats.org/spreadsheetml/2006/main" count="31" uniqueCount="30">
  <si>
    <t>Datum:</t>
  </si>
  <si>
    <t>Name:</t>
  </si>
  <si>
    <t>Vorstudien</t>
  </si>
  <si>
    <t>3</t>
  </si>
  <si>
    <t>2</t>
  </si>
  <si>
    <t>1</t>
  </si>
  <si>
    <t>Abschluss</t>
  </si>
  <si>
    <t>Universität/Hochschule</t>
  </si>
  <si>
    <t>Ausfüllhinweise</t>
  </si>
  <si>
    <t>Modulnummer</t>
  </si>
  <si>
    <t>Modultitel</t>
  </si>
  <si>
    <t>ECTS</t>
  </si>
  <si>
    <t>Note</t>
  </si>
  <si>
    <t>Formular Leistungsübersicht zur Notenberechnung
im Eignungsverfahren der Studiengänge für Wirtschaftspädagogik</t>
  </si>
  <si>
    <t>aus Vorstudium
(vgl. oben)</t>
  </si>
  <si>
    <t>Summe ECTS:</t>
  </si>
  <si>
    <t>Punktzahl im Eignungsverfahren:</t>
  </si>
  <si>
    <t>Hilfsspalte: ECTS*Note</t>
  </si>
  <si>
    <t>Sortierung nach Noten</t>
  </si>
  <si>
    <t>Noten sortierbar machen (H+gleiche Werte minimal ungleich machen)</t>
  </si>
  <si>
    <t>Berechnung Durchschnitts-note</t>
  </si>
  <si>
    <t>ECTS gesamt</t>
  </si>
  <si>
    <t>Berechnung aus Anzahl Credits?</t>
  </si>
  <si>
    <t>entsprechende ECTS zu K</t>
  </si>
  <si>
    <t>entsprechende ECTS (G)</t>
  </si>
  <si>
    <t>genau 120 ECTS vorhanden?</t>
  </si>
  <si>
    <t>Studiengang</t>
  </si>
  <si>
    <t>Durchschnittsnote aus 120 ECTS:</t>
  </si>
  <si>
    <r>
      <rPr>
        <sz val="8"/>
        <color theme="1"/>
        <rFont val="Arial"/>
        <family val="2"/>
      </rPr>
      <t xml:space="preserve">Im Eignungsverfahren wird eine </t>
    </r>
    <r>
      <rPr>
        <b/>
        <sz val="8"/>
        <color theme="1"/>
        <rFont val="Arial"/>
        <family val="2"/>
      </rPr>
      <t>Durchschnittsnote</t>
    </r>
    <r>
      <rPr>
        <sz val="8"/>
        <color theme="1"/>
        <rFont val="Arial"/>
        <family val="2"/>
      </rPr>
      <t xml:space="preserve"> berücksichtigt, die sich </t>
    </r>
    <r>
      <rPr>
        <b/>
        <sz val="8"/>
        <color theme="1"/>
        <rFont val="Arial"/>
        <family val="2"/>
      </rPr>
      <t>aus den am besten benoteten Modulen im Umfang von insgesamt 120 ECTS</t>
    </r>
    <r>
      <rPr>
        <sz val="8"/>
        <color theme="1"/>
        <rFont val="Arial"/>
        <family val="2"/>
      </rPr>
      <t xml:space="preserve"> zusammensetzt (FPSO, Anlage 2, 2. &amp; 5.1.1.b). Dieser Notenschnitt ergibt sich aus dem nach den Credits der jeweiligen Module gewichtetem Notenmittel.
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Bitte tragen Sie aus </t>
    </r>
    <r>
      <rPr>
        <b/>
        <u/>
        <sz val="10"/>
        <color theme="1"/>
        <rFont val="Arial"/>
        <family val="2"/>
      </rPr>
      <t>allen von Ihnen absolvierten Modulen</t>
    </r>
    <r>
      <rPr>
        <b/>
        <sz val="10"/>
        <color theme="1"/>
        <rFont val="Arial"/>
        <family val="2"/>
      </rPr>
      <t xml:space="preserve"> die </t>
    </r>
    <r>
      <rPr>
        <b/>
        <u/>
        <sz val="10"/>
        <color theme="1"/>
        <rFont val="Arial"/>
        <family val="2"/>
      </rPr>
      <t>am besten benoteten Module</t>
    </r>
    <r>
      <rPr>
        <b/>
        <sz val="10"/>
        <color theme="1"/>
        <rFont val="Arial"/>
        <family val="2"/>
      </rPr>
      <t xml:space="preserve"> im Umfang von </t>
    </r>
    <r>
      <rPr>
        <b/>
        <u/>
        <sz val="10"/>
        <color theme="1"/>
        <rFont val="Arial"/>
        <family val="2"/>
      </rPr>
      <t xml:space="preserve">mindestens 120 ECTS-Credits </t>
    </r>
    <r>
      <rPr>
        <b/>
        <sz val="10"/>
        <color theme="1"/>
        <rFont val="Arial"/>
        <family val="2"/>
      </rPr>
      <t>in die folgende Tabelle ein</t>
    </r>
    <r>
      <rPr>
        <sz val="10"/>
        <color theme="1"/>
        <rFont val="Arial"/>
        <family val="2"/>
      </rPr>
      <t xml:space="preserve">. Übernehmen Sie Ihre Angaben aus Ihrem/n Transcript(s) of Records und achten Sie unbedingt auf Vollständigkeit und Korrektheit.
Geben Sie immer </t>
    </r>
    <r>
      <rPr>
        <b/>
        <sz val="10"/>
        <color theme="1"/>
        <rFont val="Arial"/>
        <family val="2"/>
      </rPr>
      <t>Noten von ganzen Modulen</t>
    </r>
    <r>
      <rPr>
        <sz val="10"/>
        <color theme="1"/>
        <rFont val="Arial"/>
        <family val="2"/>
      </rPr>
      <t xml:space="preserve"> ein, </t>
    </r>
    <r>
      <rPr>
        <u/>
        <sz val="10"/>
        <color theme="1"/>
        <rFont val="Arial"/>
        <family val="2"/>
      </rPr>
      <t>keine Teilnoten oder Noten für einzelne Lehrveranstaltungen</t>
    </r>
    <r>
      <rPr>
        <sz val="10"/>
        <color theme="1"/>
        <rFont val="Arial"/>
        <family val="2"/>
      </rPr>
      <t xml:space="preserve">!
</t>
    </r>
    <r>
      <rPr>
        <sz val="8"/>
        <color theme="1"/>
        <rFont val="Arial"/>
        <family val="2"/>
      </rPr>
      <t xml:space="preserve">Sollten Sie </t>
    </r>
    <r>
      <rPr>
        <b/>
        <sz val="8"/>
        <color theme="1"/>
        <rFont val="Arial"/>
        <family val="2"/>
      </rPr>
      <t>nicht nach ECTS studiert</t>
    </r>
    <r>
      <rPr>
        <sz val="8"/>
        <color theme="1"/>
        <rFont val="Arial"/>
        <family val="2"/>
      </rPr>
      <t xml:space="preserve"> haben oder </t>
    </r>
    <r>
      <rPr>
        <b/>
        <sz val="8"/>
        <color theme="1"/>
        <rFont val="Arial"/>
        <family val="2"/>
      </rPr>
      <t>Noten nach ausländischen Notenskalen</t>
    </r>
    <r>
      <rPr>
        <sz val="8"/>
        <color theme="1"/>
        <rFont val="Arial"/>
        <family val="2"/>
      </rPr>
      <t xml:space="preserve"> erhalten haben, konsultieren Sie bitte vor dem Ausfüllen des Formulars die Studienberatung: https://www.edu.tum.de/studium/ansprechpartner/studienberatung/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</si>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</sst>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70C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u/>
      <sz val="10"/>
      <color theme="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color theme="0" tint="-0.49998474074526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3" borderId="1" xfId="0" applyFont="1" applyFill="1" applyBorder="1"/>
    <xf numFmtId="0" fontId="4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5" fillId="2" borderId="1" xfId="0" quotePrefix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top"/>
    </xf>
    <xf numFmtId="164" fontId="1" fillId="2" borderId="14" xfId="0" applyNumberFormat="1" applyFont="1" applyFill="1" applyBorder="1" applyAlignment="1">
      <alignment horizontal="center" vertical="top"/>
    </xf>
    <xf numFmtId="0" fontId="13" fillId="0" borderId="0" xfId="0" applyFont="1" applyAlignment="1">
      <alignment wrapText="1"/>
    </xf>
    <xf numFmtId="165" fontId="13" fillId="0" borderId="0" xfId="0" applyNumberFormat="1" applyFont="1"/>
    <xf numFmtId="164" fontId="13" fillId="0" borderId="0" xfId="0" applyNumberFormat="1" applyFont="1"/>
    <xf numFmtId="0" fontId="13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/>
    <xf numFmtId="1" fontId="15" fillId="2" borderId="17" xfId="0" applyNumberFormat="1" applyFont="1" applyFill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2" fontId="5" fillId="0" borderId="14" xfId="0" applyNumberFormat="1" applyFont="1" applyBorder="1" applyAlignment="1" applyProtection="1">
      <alignment horizontal="right" vertical="top"/>
      <protection locked="0"/>
    </xf>
    <xf numFmtId="0" fontId="5" fillId="0" borderId="15" xfId="0" applyFont="1" applyBorder="1" applyAlignment="1" applyProtection="1">
      <alignment horizontal="center" vertical="top"/>
      <protection locked="0"/>
    </xf>
    <xf numFmtId="0" fontId="5" fillId="0" borderId="16" xfId="0" applyFont="1" applyBorder="1" applyAlignment="1" applyProtection="1">
      <alignment horizontal="center" vertical="top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6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>
      <alignment wrapText="1"/>
    </xf>
    <xf numFmtId="2" fontId="17" fillId="0" borderId="0" xfId="0" applyNumberFormat="1" applyFont="1"/>
    <xf numFmtId="0" fontId="13" fillId="0" borderId="18" xfId="0" applyFont="1" applyBorder="1" applyAlignment="1">
      <alignment wrapText="1"/>
    </xf>
    <xf numFmtId="2" fontId="13" fillId="0" borderId="18" xfId="0" applyNumberFormat="1" applyFont="1" applyBorder="1"/>
    <xf numFmtId="164" fontId="13" fillId="0" borderId="18" xfId="0" applyNumberFormat="1" applyFont="1" applyBorder="1"/>
    <xf numFmtId="0" fontId="13" fillId="0" borderId="20" xfId="0" applyFont="1" applyBorder="1" applyAlignment="1">
      <alignment wrapText="1"/>
    </xf>
    <xf numFmtId="0" fontId="13" fillId="0" borderId="19" xfId="0" applyFont="1" applyBorder="1"/>
    <xf numFmtId="0" fontId="17" fillId="0" borderId="23" xfId="0" applyFont="1" applyBorder="1" applyAlignment="1">
      <alignment horizontal="center"/>
    </xf>
    <xf numFmtId="0" fontId="13" fillId="0" borderId="22" xfId="0" applyFont="1" applyBorder="1"/>
    <xf numFmtId="2" fontId="5" fillId="0" borderId="17" xfId="0" applyNumberFormat="1" applyFont="1" applyBorder="1" applyAlignment="1" applyProtection="1">
      <alignment horizontal="right" vertical="top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7" fillId="0" borderId="21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/>
      <protection locked="0"/>
    </xf>
    <xf numFmtId="0" fontId="1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7" fillId="3" borderId="11" xfId="0" applyFont="1" applyFill="1" applyBorder="1" applyAlignment="1">
      <alignment horizontal="center" vertical="center"/>
    </xf>
    <xf numFmtId="0" fontId="12" fillId="0" borderId="16" xfId="0" applyFont="1" applyBorder="1" applyAlignment="1" applyProtection="1">
      <alignment horizontal="left" vertical="top" wrapText="1"/>
      <protection locked="0"/>
    </xf>
    <xf numFmtId="0" fontId="3" fillId="3" borderId="10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0" fontId="3" fillId="3" borderId="13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3" fillId="3" borderId="15" xfId="0" applyFont="1" applyFill="1" applyBorder="1" applyAlignment="1">
      <alignment horizontal="left" vertical="top"/>
    </xf>
    <xf numFmtId="0" fontId="3" fillId="3" borderId="16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24" xfId="0" applyFont="1" applyBorder="1" applyAlignment="1" applyProtection="1">
      <alignment horizontal="center" vertical="top" wrapText="1"/>
      <protection locked="0"/>
    </xf>
    <xf numFmtId="0" fontId="12" fillId="0" borderId="25" xfId="0" applyFont="1" applyBorder="1" applyAlignment="1" applyProtection="1">
      <alignment horizontal="center" vertical="top" wrapText="1"/>
      <protection locked="0"/>
    </xf>
    <xf numFmtId="0" fontId="12" fillId="0" borderId="26" xfId="0" applyFont="1" applyBorder="1" applyAlignment="1" applyProtection="1">
      <alignment horizontal="center" vertical="top" wrapText="1"/>
      <protection locked="0"/>
    </xf>
    <xf numFmtId="0" fontId="12" fillId="0" borderId="24" xfId="0" applyFont="1" applyBorder="1" applyAlignment="1" applyProtection="1">
      <alignment horizontal="left" vertical="top" wrapText="1"/>
      <protection locked="0"/>
    </xf>
    <xf numFmtId="0" fontId="12" fillId="0" borderId="25" xfId="0" applyFont="1" applyBorder="1" applyAlignment="1" applyProtection="1">
      <alignment horizontal="left" vertical="top" wrapText="1"/>
      <protection locked="0"/>
    </xf>
    <xf numFmtId="0" fontId="12" fillId="0" borderId="26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24" xfId="0" applyFont="1" applyBorder="1" applyAlignment="1" applyProtection="1">
      <alignment horizontal="left" vertical="top" wrapText="1"/>
      <protection locked="0"/>
    </xf>
    <xf numFmtId="0" fontId="12" fillId="0" borderId="25" xfId="0" applyFont="1" applyBorder="1" applyAlignment="1" applyProtection="1">
      <alignment horizontal="left" vertical="top" wrapText="1"/>
      <protection locked="0"/>
    </xf>
    <xf numFmtId="0" fontId="12" fillId="0" borderId="26" xfId="0" applyFont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69"/>
  <sheetViews>
    <sheetView showGridLines="0" tabSelected="1" showRuler="0" zoomScaleNormal="100" zoomScaleSheetLayoutView="100" zoomScalePageLayoutView="110" workbookViewId="0">
      <selection activeCell="A16" sqref="A16"/>
    </sheetView>
  </sheetViews>
  <sheetFormatPr baseColWidth="10" defaultColWidth="11.46484375" defaultRowHeight="13.5" x14ac:dyDescent="0.35"/>
  <cols>
    <col min="1" max="1" width="11.6640625" style="1" customWidth="1"/>
    <col min="2" max="2" width="14.53125" style="1" customWidth="1"/>
    <col min="3" max="3" width="7.6640625" style="1" customWidth="1"/>
    <col min="4" max="4" width="11.46484375" style="1"/>
    <col min="5" max="5" width="9.86328125" style="1" customWidth="1"/>
    <col min="6" max="6" width="26.33203125" style="1" customWidth="1"/>
    <col min="7" max="8" width="6.33203125" style="1" customWidth="1"/>
    <col min="9" max="9" width="18.33203125" style="1" hidden="1" customWidth="1"/>
    <col min="10" max="10" width="11.46484375" style="1" hidden="1" customWidth="1"/>
    <col min="11" max="11" width="8.6640625" style="1" hidden="1" customWidth="1"/>
    <col min="12" max="12" width="11.33203125" style="1" hidden="1" customWidth="1"/>
    <col min="13" max="13" width="9" style="1" hidden="1" customWidth="1"/>
    <col min="14" max="14" width="7.1328125" style="1" hidden="1" customWidth="1"/>
    <col min="15" max="15" width="12.33203125" style="1" hidden="1" customWidth="1"/>
    <col min="16" max="16" width="12.53125" style="1" hidden="1" customWidth="1"/>
    <col min="17" max="16384" width="11.46484375" style="1"/>
  </cols>
  <sheetData>
    <row r="1" spans="1:16" ht="15" customHeight="1" x14ac:dyDescent="0.35">
      <c r="A1" s="45" t="s">
        <v>13</v>
      </c>
      <c r="B1" s="46"/>
      <c r="C1" s="46"/>
      <c r="D1" s="46"/>
      <c r="E1" s="46"/>
      <c r="F1" s="46"/>
      <c r="G1" s="46"/>
      <c r="H1" s="46"/>
    </row>
    <row r="2" spans="1:16" ht="14.25" customHeight="1" x14ac:dyDescent="0.35">
      <c r="A2" s="46"/>
      <c r="B2" s="46"/>
      <c r="C2" s="46"/>
      <c r="D2" s="46"/>
      <c r="E2" s="46"/>
      <c r="F2" s="46"/>
      <c r="G2" s="46"/>
      <c r="H2" s="46"/>
    </row>
    <row r="3" spans="1:16" ht="5.25" customHeight="1" x14ac:dyDescent="0.35"/>
    <row r="4" spans="1:16" ht="15" customHeight="1" x14ac:dyDescent="0.4">
      <c r="A4" s="2" t="s">
        <v>1</v>
      </c>
      <c r="B4" s="47"/>
      <c r="C4" s="47"/>
      <c r="D4" s="47"/>
      <c r="E4" s="47"/>
      <c r="F4" s="47"/>
      <c r="G4" s="47"/>
      <c r="H4" s="47"/>
    </row>
    <row r="5" spans="1:16" ht="15" customHeight="1" x14ac:dyDescent="0.35">
      <c r="A5" s="2" t="s">
        <v>0</v>
      </c>
      <c r="B5" s="48"/>
      <c r="C5" s="49"/>
      <c r="D5" s="49"/>
      <c r="E5" s="49"/>
      <c r="F5" s="49"/>
      <c r="G5" s="49"/>
      <c r="H5" s="49"/>
    </row>
    <row r="6" spans="1:16" ht="5.25" customHeight="1" x14ac:dyDescent="0.35"/>
    <row r="7" spans="1:16" ht="15" customHeight="1" x14ac:dyDescent="0.35">
      <c r="A7" s="5" t="s">
        <v>2</v>
      </c>
      <c r="B7" s="44" t="s">
        <v>6</v>
      </c>
      <c r="C7" s="44"/>
      <c r="D7" s="44" t="s">
        <v>26</v>
      </c>
      <c r="E7" s="44"/>
      <c r="F7" s="44" t="s">
        <v>7</v>
      </c>
      <c r="G7" s="44"/>
      <c r="H7" s="44"/>
    </row>
    <row r="8" spans="1:16" x14ac:dyDescent="0.35">
      <c r="A8" s="6" t="s">
        <v>5</v>
      </c>
      <c r="B8" s="43"/>
      <c r="C8" s="43"/>
      <c r="D8" s="43"/>
      <c r="E8" s="43"/>
      <c r="F8" s="43"/>
      <c r="G8" s="43"/>
      <c r="H8" s="43"/>
    </row>
    <row r="9" spans="1:16" x14ac:dyDescent="0.35">
      <c r="A9" s="6" t="s">
        <v>4</v>
      </c>
      <c r="B9" s="43"/>
      <c r="C9" s="43"/>
      <c r="D9" s="43"/>
      <c r="E9" s="43"/>
      <c r="F9" s="43"/>
      <c r="G9" s="43"/>
      <c r="H9" s="43"/>
    </row>
    <row r="10" spans="1:16" x14ac:dyDescent="0.35">
      <c r="A10" s="6" t="s">
        <v>3</v>
      </c>
      <c r="B10" s="43"/>
      <c r="C10" s="43"/>
      <c r="D10" s="43"/>
      <c r="E10" s="43"/>
      <c r="F10" s="43"/>
      <c r="G10" s="43"/>
      <c r="H10" s="43"/>
    </row>
    <row r="11" spans="1:16" ht="5.25" customHeight="1" thickBot="1" x14ac:dyDescent="0.4"/>
    <row r="12" spans="1:16" ht="15" customHeight="1" x14ac:dyDescent="0.35">
      <c r="A12" s="37" t="s">
        <v>8</v>
      </c>
      <c r="B12" s="38"/>
      <c r="C12" s="38"/>
      <c r="D12" s="38"/>
      <c r="E12" s="38"/>
      <c r="F12" s="38"/>
      <c r="G12" s="38"/>
      <c r="H12" s="39"/>
    </row>
    <row r="13" spans="1:16" ht="133.5" customHeight="1" thickBot="1" x14ac:dyDescent="0.4">
      <c r="A13" s="40" t="s">
        <v>28</v>
      </c>
      <c r="B13" s="41"/>
      <c r="C13" s="41"/>
      <c r="D13" s="41"/>
      <c r="E13" s="41"/>
      <c r="F13" s="41"/>
      <c r="G13" s="41"/>
      <c r="H13" s="42"/>
    </row>
    <row r="14" spans="1:16" ht="5.25" customHeight="1" thickBot="1" x14ac:dyDescent="0.4"/>
    <row r="15" spans="1:16" ht="30.75" x14ac:dyDescent="0.35">
      <c r="A15" s="3" t="s">
        <v>14</v>
      </c>
      <c r="B15" s="16" t="s">
        <v>9</v>
      </c>
      <c r="C15" s="51" t="s">
        <v>10</v>
      </c>
      <c r="D15" s="51"/>
      <c r="E15" s="51"/>
      <c r="F15" s="51"/>
      <c r="G15" s="16" t="s">
        <v>11</v>
      </c>
      <c r="H15" s="4" t="s">
        <v>12</v>
      </c>
      <c r="I15" s="9" t="s">
        <v>19</v>
      </c>
      <c r="J15" s="9" t="s">
        <v>24</v>
      </c>
      <c r="K15" s="26" t="s">
        <v>18</v>
      </c>
      <c r="L15" s="12" t="s">
        <v>23</v>
      </c>
      <c r="M15" s="24" t="s">
        <v>17</v>
      </c>
      <c r="N15" s="26" t="s">
        <v>21</v>
      </c>
      <c r="O15" s="13" t="s">
        <v>20</v>
      </c>
      <c r="P15" s="29" t="s">
        <v>22</v>
      </c>
    </row>
    <row r="16" spans="1:16" x14ac:dyDescent="0.35">
      <c r="A16" s="17"/>
      <c r="B16" s="74"/>
      <c r="C16" s="75"/>
      <c r="D16" s="76"/>
      <c r="E16" s="76"/>
      <c r="F16" s="77"/>
      <c r="G16" s="18"/>
      <c r="H16" s="19"/>
      <c r="I16" s="10" t="str">
        <f t="shared" ref="I16:I65" si="0">IF(H16="","",H16+(ROW(H16)/100000000000000))</f>
        <v/>
      </c>
      <c r="J16" s="11" t="str">
        <f>IF(H16="","",G16)</f>
        <v/>
      </c>
      <c r="K16" s="27" t="str">
        <f>IFERROR(SMALL($I$16:$I$65,1),"")</f>
        <v/>
      </c>
      <c r="L16" s="11" t="str">
        <f>IFERROR(INDEX($J$16:$J$65,MATCH(K16,$I$16:$I$65,0)),"")</f>
        <v/>
      </c>
      <c r="M16" s="25" t="str">
        <f>IFERROR(K16*L16,"")</f>
        <v/>
      </c>
      <c r="N16" s="28">
        <f>SUM($L$16)</f>
        <v>0</v>
      </c>
      <c r="O16" s="14" t="str">
        <f>IFERROR(IF(AND(SUM($L$16)&gt;115,SUM($L$16:$L$65)&gt;=120),SUM($M$16)/SUM($L$16),"&lt;120 ECTS"),"FEHLER")</f>
        <v>&lt;120 ECTS</v>
      </c>
      <c r="P16" s="30" t="e">
        <f>IF(P19="ja",120,INDEX(N16:O65,MATCH(MIN(O16:O65),O16:O65,0),1))</f>
        <v>#N/A</v>
      </c>
    </row>
    <row r="17" spans="1:16" x14ac:dyDescent="0.35">
      <c r="A17" s="17"/>
      <c r="B17" s="74"/>
      <c r="C17" s="75"/>
      <c r="D17" s="76"/>
      <c r="E17" s="76"/>
      <c r="F17" s="77"/>
      <c r="G17" s="18"/>
      <c r="H17" s="19"/>
      <c r="I17" s="10" t="str">
        <f t="shared" si="0"/>
        <v/>
      </c>
      <c r="J17" s="11" t="str">
        <f t="shared" ref="J17:J65" si="1">IF(H17="","",G17)</f>
        <v/>
      </c>
      <c r="K17" s="27" t="str">
        <f>IFERROR(SMALL($I$16:$I$65,2),"")</f>
        <v/>
      </c>
      <c r="L17" s="11" t="str">
        <f>IFERROR(INDEX($J$16:$J$65,MATCH(K17,$I$16:$I$65,0)),"")</f>
        <v/>
      </c>
      <c r="M17" s="25" t="str">
        <f t="shared" ref="M17:M65" si="2">IFERROR(K17*L17,"")</f>
        <v/>
      </c>
      <c r="N17" s="28">
        <f>SUM($L$16:L17)</f>
        <v>0</v>
      </c>
      <c r="O17" s="14" t="str">
        <f>IFERROR(IF(AND(SUM($L$16:L17)&gt;115,SUM($L$16:$L$65)&gt;=120),SUM($M$16:M17)/SUM($L$16:L17),"&lt;120 ECTS"),"FEHLER")</f>
        <v>&lt;120 ECTS</v>
      </c>
      <c r="P17" s="35" t="s">
        <v>25</v>
      </c>
    </row>
    <row r="18" spans="1:16" x14ac:dyDescent="0.35">
      <c r="A18" s="17"/>
      <c r="B18" s="74"/>
      <c r="C18" s="75"/>
      <c r="D18" s="76"/>
      <c r="E18" s="76"/>
      <c r="F18" s="77"/>
      <c r="G18" s="18"/>
      <c r="H18" s="19"/>
      <c r="I18" s="10" t="str">
        <f t="shared" si="0"/>
        <v/>
      </c>
      <c r="J18" s="11" t="str">
        <f t="shared" si="1"/>
        <v/>
      </c>
      <c r="K18" s="27" t="str">
        <f>IFERROR(SMALL($I$16:$I$65,3),"")</f>
        <v/>
      </c>
      <c r="L18" s="11" t="str">
        <f>IFERROR(INDEX($J$16:$J$65,MATCH(K18,$I$16:$I$65,0)),"")</f>
        <v/>
      </c>
      <c r="M18" s="25" t="str">
        <f t="shared" si="2"/>
        <v/>
      </c>
      <c r="N18" s="28">
        <f>SUM($L$16:L18)</f>
        <v>0</v>
      </c>
      <c r="O18" s="14" t="str">
        <f>IFERROR(IF(AND(SUM($L$16:L18)&gt;115,SUM($L$16:$L$65)&gt;=120),SUM($M$16:M18)/SUM($L$16:L18),"&lt;120 ECTS"),"FEHLER")</f>
        <v>&lt;120 ECTS</v>
      </c>
      <c r="P18" s="36"/>
    </row>
    <row r="19" spans="1:16" x14ac:dyDescent="0.35">
      <c r="A19" s="17"/>
      <c r="B19" s="74"/>
      <c r="C19" s="75"/>
      <c r="D19" s="76"/>
      <c r="E19" s="76"/>
      <c r="F19" s="77"/>
      <c r="G19" s="18"/>
      <c r="H19" s="19"/>
      <c r="I19" s="10" t="str">
        <f t="shared" si="0"/>
        <v/>
      </c>
      <c r="J19" s="11" t="str">
        <f t="shared" si="1"/>
        <v/>
      </c>
      <c r="K19" s="27" t="str">
        <f>IFERROR(SMALL($I$16:$I$65,4),"")</f>
        <v/>
      </c>
      <c r="L19" s="11" t="str">
        <f>IFERROR(INDEX($J$16:$J$65,MATCH(K19,$I$16:$I$65,0)),"")</f>
        <v/>
      </c>
      <c r="M19" s="25" t="str">
        <f t="shared" si="2"/>
        <v/>
      </c>
      <c r="N19" s="28">
        <f>SUM($L$16:L19)</f>
        <v>0</v>
      </c>
      <c r="O19" s="14" t="str">
        <f>IFERROR(IF(AND(SUM($L$16:L19)&gt;115,SUM($L$16:$L$65)&gt;=120),SUM($M$16:M19)/SUM($L$16:L19),"&lt;120 ECTS"),"FEHLER")</f>
        <v>&lt;120 ECTS</v>
      </c>
      <c r="P19" s="31" t="str">
        <f>IF(ISERROR(MATCH(120,N16:N65,0)),"nein","ja")</f>
        <v>nein</v>
      </c>
    </row>
    <row r="20" spans="1:16" x14ac:dyDescent="0.35">
      <c r="A20" s="17"/>
      <c r="B20" s="74"/>
      <c r="C20" s="75"/>
      <c r="D20" s="76"/>
      <c r="E20" s="76"/>
      <c r="F20" s="77"/>
      <c r="G20" s="18"/>
      <c r="H20" s="19"/>
      <c r="I20" s="10" t="str">
        <f t="shared" si="0"/>
        <v/>
      </c>
      <c r="J20" s="11" t="str">
        <f t="shared" si="1"/>
        <v/>
      </c>
      <c r="K20" s="27" t="str">
        <f>IFERROR(SMALL($I$16:$I$65,5),"")</f>
        <v/>
      </c>
      <c r="L20" s="11" t="str">
        <f>IFERROR(INDEX($J$16:$J$65,MATCH(K20,$I$16:$I$65,0)),"")</f>
        <v/>
      </c>
      <c r="M20" s="25" t="str">
        <f t="shared" si="2"/>
        <v/>
      </c>
      <c r="N20" s="28">
        <f>SUM($L$16:L20)</f>
        <v>0</v>
      </c>
      <c r="O20" s="14" t="str">
        <f>IFERROR(IF(AND(SUM($L$16:L20)&gt;115,SUM($L$16:$L$65)&gt;=120),SUM($M$16:M20)/SUM($L$16:L20),"&lt;120 ECTS"),"FEHLER")</f>
        <v>&lt;120 ECTS</v>
      </c>
      <c r="P20" s="32"/>
    </row>
    <row r="21" spans="1:16" x14ac:dyDescent="0.35">
      <c r="A21" s="17"/>
      <c r="B21" s="74"/>
      <c r="C21" s="75"/>
      <c r="D21" s="76"/>
      <c r="E21" s="76"/>
      <c r="F21" s="77"/>
      <c r="G21" s="18"/>
      <c r="H21" s="19"/>
      <c r="I21" s="10" t="str">
        <f t="shared" si="0"/>
        <v/>
      </c>
      <c r="J21" s="11" t="str">
        <f t="shared" si="1"/>
        <v/>
      </c>
      <c r="K21" s="27" t="str">
        <f>IFERROR(SMALL($I$16:$I$65,6),"")</f>
        <v/>
      </c>
      <c r="L21" s="11" t="str">
        <f>IFERROR(INDEX($J$16:$J$65,MATCH(K21,$I$16:$I$65,0)),"")</f>
        <v/>
      </c>
      <c r="M21" s="25" t="str">
        <f t="shared" si="2"/>
        <v/>
      </c>
      <c r="N21" s="28">
        <f>SUM($L$16:L21)</f>
        <v>0</v>
      </c>
      <c r="O21" s="14" t="str">
        <f>IFERROR(IF(AND(SUM($L$16:L21)&gt;115,SUM($L$16:$L$65)&gt;=120),SUM($M$16:M21)/SUM($L$16:L21),"&lt;120 ECTS"),"FEHLER")</f>
        <v>&lt;120 ECTS</v>
      </c>
      <c r="P21" s="32"/>
    </row>
    <row r="22" spans="1:16" x14ac:dyDescent="0.35">
      <c r="A22" s="17"/>
      <c r="B22" s="74"/>
      <c r="C22" s="75"/>
      <c r="D22" s="76"/>
      <c r="E22" s="76"/>
      <c r="F22" s="77"/>
      <c r="G22" s="18"/>
      <c r="H22" s="19"/>
      <c r="I22" s="10" t="str">
        <f t="shared" si="0"/>
        <v/>
      </c>
      <c r="J22" s="11" t="str">
        <f t="shared" si="1"/>
        <v/>
      </c>
      <c r="K22" s="27" t="str">
        <f>IFERROR(SMALL($I$16:$I$65,7),"")</f>
        <v/>
      </c>
      <c r="L22" s="11" t="str">
        <f>IFERROR(INDEX($J$16:$J$65,MATCH(K22,$I$16:$I$65,0)),"")</f>
        <v/>
      </c>
      <c r="M22" s="25" t="str">
        <f t="shared" si="2"/>
        <v/>
      </c>
      <c r="N22" s="28">
        <f>SUM($L$16:L22)</f>
        <v>0</v>
      </c>
      <c r="O22" s="14" t="str">
        <f>IFERROR(IF(AND(SUM($L$16:L22)&gt;115,SUM($L$16:$L$65)&gt;=120),SUM($M$16:M22)/SUM($L$16:L22),"&lt;120 ECTS"),"FEHLER")</f>
        <v>&lt;120 ECTS</v>
      </c>
      <c r="P22" s="32"/>
    </row>
    <row r="23" spans="1:16" x14ac:dyDescent="0.35">
      <c r="A23" s="17"/>
      <c r="B23" s="74"/>
      <c r="C23" s="75"/>
      <c r="D23" s="76"/>
      <c r="E23" s="76"/>
      <c r="F23" s="77"/>
      <c r="G23" s="18"/>
      <c r="H23" s="19"/>
      <c r="I23" s="10" t="str">
        <f t="shared" si="0"/>
        <v/>
      </c>
      <c r="J23" s="11" t="str">
        <f t="shared" si="1"/>
        <v/>
      </c>
      <c r="K23" s="27" t="str">
        <f>IFERROR(SMALL($I$16:$I$65,8),"")</f>
        <v/>
      </c>
      <c r="L23" s="11" t="str">
        <f>IFERROR(INDEX($J$16:$J$65,MATCH(K23,$I$16:$I$65,0)),"")</f>
        <v/>
      </c>
      <c r="M23" s="25" t="str">
        <f t="shared" si="2"/>
        <v/>
      </c>
      <c r="N23" s="28">
        <f>SUM($L$16:L23)</f>
        <v>0</v>
      </c>
      <c r="O23" s="14" t="str">
        <f>IFERROR(IF(AND(SUM($L$16:L23)&gt;115,SUM($L$16:$L$65)&gt;=120),SUM($M$16:M23)/SUM($L$16:L23),"&lt;120 ECTS"),"FEHLER")</f>
        <v>&lt;120 ECTS</v>
      </c>
      <c r="P23" s="32"/>
    </row>
    <row r="24" spans="1:16" x14ac:dyDescent="0.35">
      <c r="A24" s="17"/>
      <c r="B24" s="74"/>
      <c r="C24" s="75"/>
      <c r="D24" s="76"/>
      <c r="E24" s="76"/>
      <c r="F24" s="77"/>
      <c r="G24" s="18"/>
      <c r="H24" s="19"/>
      <c r="I24" s="10" t="str">
        <f t="shared" si="0"/>
        <v/>
      </c>
      <c r="J24" s="11" t="str">
        <f t="shared" si="1"/>
        <v/>
      </c>
      <c r="K24" s="27" t="str">
        <f>IFERROR(SMALL($I$16:$I$65,9),"")</f>
        <v/>
      </c>
      <c r="L24" s="11" t="str">
        <f>IFERROR(INDEX($J$16:$J$65,MATCH(K24,$I$16:$I$65,0)),"")</f>
        <v/>
      </c>
      <c r="M24" s="25" t="str">
        <f t="shared" si="2"/>
        <v/>
      </c>
      <c r="N24" s="28">
        <f>SUM($L$16:L24)</f>
        <v>0</v>
      </c>
      <c r="O24" s="14" t="str">
        <f>IFERROR(IF(AND(SUM($L$16:L24)&gt;115,SUM($L$16:$L$65)&gt;=120),SUM($M$16:M24)/SUM($L$16:L24),"&lt;120 ECTS"),"FEHLER")</f>
        <v>&lt;120 ECTS</v>
      </c>
      <c r="P24" s="32"/>
    </row>
    <row r="25" spans="1:16" x14ac:dyDescent="0.35">
      <c r="A25" s="17"/>
      <c r="B25" s="74"/>
      <c r="C25" s="75"/>
      <c r="D25" s="76"/>
      <c r="E25" s="76"/>
      <c r="F25" s="77"/>
      <c r="G25" s="18"/>
      <c r="H25" s="19"/>
      <c r="I25" s="10" t="str">
        <f t="shared" si="0"/>
        <v/>
      </c>
      <c r="J25" s="11" t="str">
        <f t="shared" si="1"/>
        <v/>
      </c>
      <c r="K25" s="27" t="str">
        <f>IFERROR(SMALL($I$16:$I$65,10),"")</f>
        <v/>
      </c>
      <c r="L25" s="11" t="str">
        <f>IFERROR(INDEX($J$16:$J$65,MATCH(K25,$I$16:$I$65,0)),"")</f>
        <v/>
      </c>
      <c r="M25" s="25" t="str">
        <f t="shared" si="2"/>
        <v/>
      </c>
      <c r="N25" s="28">
        <f>SUM($L$16:L25)</f>
        <v>0</v>
      </c>
      <c r="O25" s="14" t="str">
        <f>IFERROR(IF(AND(SUM($L$16:L25)&gt;115,SUM($L$16:$L$65)&gt;=120),SUM($M$16:M25)/SUM($L$16:L25),"&lt;120 ECTS"),"FEHLER")</f>
        <v>&lt;120 ECTS</v>
      </c>
      <c r="P25" s="32"/>
    </row>
    <row r="26" spans="1:16" x14ac:dyDescent="0.35">
      <c r="A26" s="17"/>
      <c r="B26" s="74"/>
      <c r="C26" s="75"/>
      <c r="D26" s="76"/>
      <c r="E26" s="76"/>
      <c r="F26" s="77"/>
      <c r="G26" s="18"/>
      <c r="H26" s="19"/>
      <c r="I26" s="10" t="str">
        <f t="shared" si="0"/>
        <v/>
      </c>
      <c r="J26" s="11" t="str">
        <f t="shared" si="1"/>
        <v/>
      </c>
      <c r="K26" s="27" t="str">
        <f>IFERROR(SMALL($I$16:$I$65,11),"")</f>
        <v/>
      </c>
      <c r="L26" s="11" t="str">
        <f>IFERROR(INDEX($J$16:$J$65,MATCH(K26,$I$16:$I$65,0)),"")</f>
        <v/>
      </c>
      <c r="M26" s="25" t="str">
        <f t="shared" si="2"/>
        <v/>
      </c>
      <c r="N26" s="28">
        <f>SUM($L$16:L26)</f>
        <v>0</v>
      </c>
      <c r="O26" s="14" t="str">
        <f>IFERROR(IF(AND(SUM($L$16:L26)&gt;115,SUM($L$16:$L$65)&gt;=120),SUM($M$16:M26)/SUM($L$16:L26),"&lt;120 ECTS"),"FEHLER")</f>
        <v>&lt;120 ECTS</v>
      </c>
      <c r="P26" s="32"/>
    </row>
    <row r="27" spans="1:16" x14ac:dyDescent="0.35">
      <c r="A27" s="17"/>
      <c r="B27" s="74"/>
      <c r="C27" s="75"/>
      <c r="D27" s="76"/>
      <c r="E27" s="76"/>
      <c r="F27" s="77"/>
      <c r="G27" s="18"/>
      <c r="H27" s="19"/>
      <c r="I27" s="10" t="str">
        <f t="shared" si="0"/>
        <v/>
      </c>
      <c r="J27" s="11" t="str">
        <f t="shared" si="1"/>
        <v/>
      </c>
      <c r="K27" s="27" t="str">
        <f>IFERROR(SMALL($I$16:$I$65,12),"")</f>
        <v/>
      </c>
      <c r="L27" s="11" t="str">
        <f>IFERROR(INDEX($J$16:$J$65,MATCH(K27,$I$16:$I$65,0)),"")</f>
        <v/>
      </c>
      <c r="M27" s="25" t="str">
        <f t="shared" si="2"/>
        <v/>
      </c>
      <c r="N27" s="28">
        <f>SUM($L$16:L27)</f>
        <v>0</v>
      </c>
      <c r="O27" s="14" t="str">
        <f>IFERROR(IF(AND(SUM($L$16:L27)&gt;115,SUM($L$16:$L$65)&gt;=120),SUM($M$16:M27)/SUM($L$16:L27),"&lt;120 ECTS"),"FEHLER")</f>
        <v>&lt;120 ECTS</v>
      </c>
      <c r="P27" s="32"/>
    </row>
    <row r="28" spans="1:16" x14ac:dyDescent="0.35">
      <c r="A28" s="17"/>
      <c r="B28" s="74"/>
      <c r="C28" s="75"/>
      <c r="D28" s="76"/>
      <c r="E28" s="76"/>
      <c r="F28" s="77"/>
      <c r="G28" s="18"/>
      <c r="H28" s="19"/>
      <c r="I28" s="10" t="str">
        <f t="shared" si="0"/>
        <v/>
      </c>
      <c r="J28" s="11" t="str">
        <f t="shared" si="1"/>
        <v/>
      </c>
      <c r="K28" s="27" t="str">
        <f>IFERROR(SMALL($I$16:$I$65,13),"")</f>
        <v/>
      </c>
      <c r="L28" s="11" t="str">
        <f>IFERROR(INDEX($J$16:$J$65,MATCH(K28,$I$16:$I$65,0)),"")</f>
        <v/>
      </c>
      <c r="M28" s="25" t="str">
        <f t="shared" si="2"/>
        <v/>
      </c>
      <c r="N28" s="28">
        <f>SUM($L$16:L28)</f>
        <v>0</v>
      </c>
      <c r="O28" s="14" t="str">
        <f>IFERROR(IF(AND(SUM($L$16:L28)&gt;115,SUM($L$16:$L$65)&gt;=120),SUM($M$16:M28)/SUM($L$16:L28),"&lt;120 ECTS"),"FEHLER")</f>
        <v>&lt;120 ECTS</v>
      </c>
      <c r="P28" s="32"/>
    </row>
    <row r="29" spans="1:16" x14ac:dyDescent="0.35">
      <c r="A29" s="17"/>
      <c r="B29" s="74"/>
      <c r="C29" s="75"/>
      <c r="D29" s="76"/>
      <c r="E29" s="76"/>
      <c r="F29" s="77"/>
      <c r="G29" s="18"/>
      <c r="H29" s="19"/>
      <c r="I29" s="10" t="str">
        <f t="shared" si="0"/>
        <v/>
      </c>
      <c r="J29" s="11" t="str">
        <f t="shared" si="1"/>
        <v/>
      </c>
      <c r="K29" s="27" t="str">
        <f>IFERROR(SMALL($I$16:$I$65,14),"")</f>
        <v/>
      </c>
      <c r="L29" s="11" t="str">
        <f>IFERROR(INDEX($J$16:$J$65,MATCH(K29,$I$16:$I$65,0)),"")</f>
        <v/>
      </c>
      <c r="M29" s="25" t="str">
        <f t="shared" si="2"/>
        <v/>
      </c>
      <c r="N29" s="28">
        <f>SUM($L$16:L29)</f>
        <v>0</v>
      </c>
      <c r="O29" s="14" t="str">
        <f>IFERROR(IF(AND(SUM($L$16:L29)&gt;115,SUM($L$16:$L$65)&gt;=120),SUM($M$16:M29)/SUM($L$16:L29),"&lt;120 ECTS"),"FEHLER")</f>
        <v>&lt;120 ECTS</v>
      </c>
      <c r="P29" s="32"/>
    </row>
    <row r="30" spans="1:16" x14ac:dyDescent="0.35">
      <c r="A30" s="17"/>
      <c r="B30" s="74"/>
      <c r="C30" s="75"/>
      <c r="D30" s="76"/>
      <c r="E30" s="76"/>
      <c r="F30" s="77"/>
      <c r="G30" s="18"/>
      <c r="H30" s="19"/>
      <c r="I30" s="10" t="str">
        <f t="shared" si="0"/>
        <v/>
      </c>
      <c r="J30" s="11" t="str">
        <f t="shared" si="1"/>
        <v/>
      </c>
      <c r="K30" s="27" t="str">
        <f>IFERROR(SMALL($I$16:$I$65,15),"")</f>
        <v/>
      </c>
      <c r="L30" s="11" t="str">
        <f>IFERROR(INDEX($J$16:$J$65,MATCH(K30,$I$16:$I$65,0)),"")</f>
        <v/>
      </c>
      <c r="M30" s="25" t="str">
        <f t="shared" si="2"/>
        <v/>
      </c>
      <c r="N30" s="28">
        <f>SUM($L$16:L30)</f>
        <v>0</v>
      </c>
      <c r="O30" s="14" t="str">
        <f>IFERROR(IF(AND(SUM($L$16:L30)&gt;115,SUM($L$16:$L$65)&gt;=120),SUM($M$16:M30)/SUM($L$16:L30),"&lt;120 ECTS"),"FEHLER")</f>
        <v>&lt;120 ECTS</v>
      </c>
      <c r="P30" s="32"/>
    </row>
    <row r="31" spans="1:16" x14ac:dyDescent="0.35">
      <c r="A31" s="17"/>
      <c r="B31" s="74"/>
      <c r="C31" s="75"/>
      <c r="D31" s="76"/>
      <c r="E31" s="76"/>
      <c r="F31" s="77"/>
      <c r="G31" s="18"/>
      <c r="H31" s="19"/>
      <c r="I31" s="10" t="str">
        <f t="shared" si="0"/>
        <v/>
      </c>
      <c r="J31" s="11" t="str">
        <f t="shared" si="1"/>
        <v/>
      </c>
      <c r="K31" s="27" t="str">
        <f>IFERROR(SMALL($I$16:$I$65,16),"")</f>
        <v/>
      </c>
      <c r="L31" s="11" t="str">
        <f>IFERROR(INDEX($J$16:$J$65,MATCH(K31,$I$16:$I$65,0)),"")</f>
        <v/>
      </c>
      <c r="M31" s="25" t="str">
        <f t="shared" si="2"/>
        <v/>
      </c>
      <c r="N31" s="28">
        <f>SUM($L$16:L31)</f>
        <v>0</v>
      </c>
      <c r="O31" s="14" t="str">
        <f>IFERROR(IF(AND(SUM($L$16:L31)&gt;115,SUM($L$16:$L$65)&gt;=120),SUM($M$16:M31)/SUM($L$16:L31),"&lt;120 ECTS"),"FEHLER")</f>
        <v>&lt;120 ECTS</v>
      </c>
      <c r="P31" s="32"/>
    </row>
    <row r="32" spans="1:16" x14ac:dyDescent="0.35">
      <c r="A32" s="17"/>
      <c r="B32" s="74"/>
      <c r="C32" s="75"/>
      <c r="D32" s="76"/>
      <c r="E32" s="76"/>
      <c r="F32" s="77"/>
      <c r="G32" s="18"/>
      <c r="H32" s="19"/>
      <c r="I32" s="10" t="str">
        <f t="shared" si="0"/>
        <v/>
      </c>
      <c r="J32" s="11" t="str">
        <f t="shared" si="1"/>
        <v/>
      </c>
      <c r="K32" s="27" t="str">
        <f>IFERROR(SMALL($I$16:$I$65,17),"")</f>
        <v/>
      </c>
      <c r="L32" s="11" t="str">
        <f>IFERROR(INDEX($J$16:$J$65,MATCH(K32,$I$16:$I$65,0)),"")</f>
        <v/>
      </c>
      <c r="M32" s="25" t="str">
        <f t="shared" si="2"/>
        <v/>
      </c>
      <c r="N32" s="28">
        <f>SUM($L$16:L32)</f>
        <v>0</v>
      </c>
      <c r="O32" s="14" t="str">
        <f>IFERROR(IF(AND(SUM($L$16:L32)&gt;115,SUM($L$16:$L$65)&gt;=120),SUM($M$16:M32)/SUM($L$16:L32),"&lt;120 ECTS"),"FEHLER")</f>
        <v>&lt;120 ECTS</v>
      </c>
      <c r="P32" s="32"/>
    </row>
    <row r="33" spans="1:16" x14ac:dyDescent="0.35">
      <c r="A33" s="17"/>
      <c r="B33" s="74"/>
      <c r="C33" s="75"/>
      <c r="D33" s="76"/>
      <c r="E33" s="76"/>
      <c r="F33" s="77"/>
      <c r="G33" s="18"/>
      <c r="H33" s="19"/>
      <c r="I33" s="10" t="str">
        <f t="shared" si="0"/>
        <v/>
      </c>
      <c r="J33" s="11" t="str">
        <f t="shared" si="1"/>
        <v/>
      </c>
      <c r="K33" s="27" t="str">
        <f>IFERROR(SMALL($I$16:$I$65,18),"")</f>
        <v/>
      </c>
      <c r="L33" s="11" t="str">
        <f>IFERROR(INDEX($J$16:$J$65,MATCH(K33,$I$16:$I$65,0)),"")</f>
        <v/>
      </c>
      <c r="M33" s="25" t="str">
        <f t="shared" si="2"/>
        <v/>
      </c>
      <c r="N33" s="28">
        <f>SUM($L$16:L33)</f>
        <v>0</v>
      </c>
      <c r="O33" s="14" t="str">
        <f>IFERROR(IF(AND(SUM($L$16:L33)&gt;115,SUM($L$16:$L$65)&gt;=120),SUM($M$16:M33)/SUM($L$16:L33),"&lt;120 ECTS"),"FEHLER")</f>
        <v>&lt;120 ECTS</v>
      </c>
      <c r="P33" s="32"/>
    </row>
    <row r="34" spans="1:16" x14ac:dyDescent="0.35">
      <c r="A34" s="17"/>
      <c r="B34" s="74"/>
      <c r="C34" s="75"/>
      <c r="D34" s="76"/>
      <c r="E34" s="76"/>
      <c r="F34" s="77"/>
      <c r="G34" s="18"/>
      <c r="H34" s="19"/>
      <c r="I34" s="10" t="str">
        <f t="shared" si="0"/>
        <v/>
      </c>
      <c r="J34" s="11" t="str">
        <f t="shared" si="1"/>
        <v/>
      </c>
      <c r="K34" s="27" t="str">
        <f>IFERROR(SMALL($I$16:$I$65,19),"")</f>
        <v/>
      </c>
      <c r="L34" s="11" t="str">
        <f>IFERROR(INDEX($J$16:$J$65,MATCH(K34,$I$16:$I$65,0)),"")</f>
        <v/>
      </c>
      <c r="M34" s="25" t="str">
        <f t="shared" si="2"/>
        <v/>
      </c>
      <c r="N34" s="28">
        <f>SUM($L$16:L34)</f>
        <v>0</v>
      </c>
      <c r="O34" s="14" t="str">
        <f>IFERROR(IF(AND(SUM($L$16:L34)&gt;115,SUM($L$16:$L$65)&gt;=120),SUM($M$16:M34)/SUM($L$16:L34),"&lt;120 ECTS"),"FEHLER")</f>
        <v>&lt;120 ECTS</v>
      </c>
      <c r="P34" s="32"/>
    </row>
    <row r="35" spans="1:16" x14ac:dyDescent="0.35">
      <c r="A35" s="17"/>
      <c r="B35" s="74"/>
      <c r="C35" s="75"/>
      <c r="D35" s="76"/>
      <c r="E35" s="76"/>
      <c r="F35" s="77"/>
      <c r="G35" s="18"/>
      <c r="H35" s="19"/>
      <c r="I35" s="10" t="str">
        <f t="shared" si="0"/>
        <v/>
      </c>
      <c r="J35" s="11" t="str">
        <f t="shared" si="1"/>
        <v/>
      </c>
      <c r="K35" s="27" t="str">
        <f>IFERROR(SMALL($I$16:$I$65,20),"")</f>
        <v/>
      </c>
      <c r="L35" s="11" t="str">
        <f>IFERROR(INDEX($J$16:$J$65,MATCH(K35,$I$16:$I$65,0)),"")</f>
        <v/>
      </c>
      <c r="M35" s="25" t="str">
        <f t="shared" si="2"/>
        <v/>
      </c>
      <c r="N35" s="28">
        <f>SUM($L$16:L35)</f>
        <v>0</v>
      </c>
      <c r="O35" s="14" t="str">
        <f>IFERROR(IF(AND(SUM($L$16:L35)&gt;115,SUM($L$16:$L$65)&gt;=120),SUM($M$16:M35)/SUM($L$16:L35),"&lt;120 ECTS"),"FEHLER")</f>
        <v>&lt;120 ECTS</v>
      </c>
      <c r="P35" s="32"/>
    </row>
    <row r="36" spans="1:16" x14ac:dyDescent="0.35">
      <c r="A36" s="17"/>
      <c r="B36" s="74"/>
      <c r="C36" s="75" t="s">
        <v>29</v>
      </c>
      <c r="D36" s="76"/>
      <c r="E36" s="76"/>
      <c r="F36" s="77"/>
      <c r="G36" s="18"/>
      <c r="H36" s="19"/>
      <c r="I36" s="10" t="str">
        <f t="shared" si="0"/>
        <v/>
      </c>
      <c r="J36" s="11" t="str">
        <f t="shared" si="1"/>
        <v/>
      </c>
      <c r="K36" s="27" t="str">
        <f>IFERROR(SMALL($I$16:$I$65,21),"")</f>
        <v/>
      </c>
      <c r="L36" s="11" t="str">
        <f>IFERROR(INDEX($J$16:$J$65,MATCH(K36,$I$16:$I$65,0)),"")</f>
        <v/>
      </c>
      <c r="M36" s="25" t="str">
        <f t="shared" si="2"/>
        <v/>
      </c>
      <c r="N36" s="28">
        <f>SUM($L$16:L36)</f>
        <v>0</v>
      </c>
      <c r="O36" s="14" t="str">
        <f>IFERROR(IF(AND(SUM($L$16:L36)&gt;115,SUM($L$16:$L$65)&gt;=120),SUM($M$16:M36)/SUM($L$16:L36),"&lt;120 ECTS"),"FEHLER")</f>
        <v>&lt;120 ECTS</v>
      </c>
      <c r="P36" s="32"/>
    </row>
    <row r="37" spans="1:16" x14ac:dyDescent="0.35">
      <c r="A37" s="17"/>
      <c r="B37" s="74"/>
      <c r="C37" s="75"/>
      <c r="D37" s="76"/>
      <c r="E37" s="76"/>
      <c r="F37" s="77"/>
      <c r="G37" s="18"/>
      <c r="H37" s="19"/>
      <c r="I37" s="10" t="str">
        <f t="shared" si="0"/>
        <v/>
      </c>
      <c r="J37" s="11" t="str">
        <f t="shared" si="1"/>
        <v/>
      </c>
      <c r="K37" s="27" t="str">
        <f>IFERROR(SMALL($I$16:$I$65,22),"")</f>
        <v/>
      </c>
      <c r="L37" s="11" t="str">
        <f>IFERROR(INDEX($J$16:$J$65,MATCH(K37,$I$16:$I$65,0)),"")</f>
        <v/>
      </c>
      <c r="M37" s="25" t="str">
        <f t="shared" si="2"/>
        <v/>
      </c>
      <c r="N37" s="28">
        <f>SUM($L$16:L37)</f>
        <v>0</v>
      </c>
      <c r="O37" s="14" t="str">
        <f>IFERROR(IF(AND(SUM($L$16:L37)&gt;115,SUM($L$16:$L$65)&gt;=120),SUM($M$16:M37)/SUM($L$16:L37),"&lt;120 ECTS"),"FEHLER")</f>
        <v>&lt;120 ECTS</v>
      </c>
      <c r="P37" s="32"/>
    </row>
    <row r="38" spans="1:16" x14ac:dyDescent="0.35">
      <c r="A38" s="17"/>
      <c r="B38" s="74"/>
      <c r="C38" s="68"/>
      <c r="D38" s="69"/>
      <c r="E38" s="69"/>
      <c r="F38" s="70"/>
      <c r="G38" s="18"/>
      <c r="H38" s="19"/>
      <c r="I38" s="10"/>
      <c r="J38" s="11"/>
      <c r="K38" s="27"/>
      <c r="L38" s="11"/>
      <c r="M38" s="25"/>
      <c r="N38" s="28"/>
      <c r="O38" s="14"/>
      <c r="P38" s="32"/>
    </row>
    <row r="39" spans="1:16" x14ac:dyDescent="0.35">
      <c r="A39" s="17"/>
      <c r="B39" s="74"/>
      <c r="C39" s="75"/>
      <c r="D39" s="76"/>
      <c r="E39" s="76"/>
      <c r="F39" s="77"/>
      <c r="G39" s="18"/>
      <c r="H39" s="19"/>
      <c r="I39" s="10" t="str">
        <f t="shared" si="0"/>
        <v/>
      </c>
      <c r="J39" s="11" t="str">
        <f t="shared" si="1"/>
        <v/>
      </c>
      <c r="K39" s="27" t="str">
        <f>IFERROR(SMALL($I$16:$I$65,23),"")</f>
        <v/>
      </c>
      <c r="L39" s="11" t="str">
        <f>IFERROR(INDEX($J$16:$J$65,MATCH(K39,$I$16:$I$65,0)),"")</f>
        <v/>
      </c>
      <c r="M39" s="25" t="str">
        <f t="shared" si="2"/>
        <v/>
      </c>
      <c r="N39" s="28">
        <f>SUM($L$16:L39)</f>
        <v>0</v>
      </c>
      <c r="O39" s="14" t="str">
        <f>IFERROR(IF(AND(SUM($L$16:L39)&gt;115,SUM($L$16:$L$65)&gt;=120),SUM($M$16:M39)/SUM($L$16:L39),"&lt;120 ECTS"),"FEHLER")</f>
        <v>&lt;120 ECTS</v>
      </c>
      <c r="P39" s="32"/>
    </row>
    <row r="40" spans="1:16" x14ac:dyDescent="0.35">
      <c r="A40" s="17"/>
      <c r="B40" s="74"/>
      <c r="C40" s="71"/>
      <c r="D40" s="72"/>
      <c r="E40" s="72"/>
      <c r="F40" s="73"/>
      <c r="G40" s="18"/>
      <c r="H40" s="19"/>
      <c r="I40" s="10"/>
      <c r="J40" s="11"/>
      <c r="K40" s="27"/>
      <c r="L40" s="11"/>
      <c r="M40" s="25"/>
      <c r="N40" s="28"/>
      <c r="O40" s="14"/>
      <c r="P40" s="32"/>
    </row>
    <row r="41" spans="1:16" x14ac:dyDescent="0.35">
      <c r="A41" s="17"/>
      <c r="B41" s="74"/>
      <c r="C41" s="75"/>
      <c r="D41" s="76"/>
      <c r="E41" s="76"/>
      <c r="F41" s="77"/>
      <c r="G41" s="18"/>
      <c r="H41" s="19"/>
      <c r="I41" s="10" t="str">
        <f t="shared" ref="I41:I62" si="3">IF(H41="","",H41+(ROW(H41)/100000000000000))</f>
        <v/>
      </c>
      <c r="J41" s="11" t="str">
        <f t="shared" ref="J41:J62" si="4">IF(H41="","",G41)</f>
        <v/>
      </c>
      <c r="K41" s="27" t="str">
        <f>IFERROR(SMALL($I$16:$I$65,2),"")</f>
        <v/>
      </c>
      <c r="L41" s="11" t="str">
        <f>IFERROR(INDEX($J$16:$J$65,MATCH(K41,$I$16:$I$65,0)),"")</f>
        <v/>
      </c>
      <c r="M41" s="25" t="str">
        <f t="shared" ref="M41:M62" si="5">IFERROR(K41*L41,"")</f>
        <v/>
      </c>
      <c r="N41" s="28">
        <f>SUM($L$16:L41)</f>
        <v>0</v>
      </c>
      <c r="O41" s="14" t="str">
        <f>IFERROR(IF(AND(SUM($L$16:L41)&gt;115,SUM($L$16:$L$65)&gt;=120),SUM($M$16:M41)/SUM($L$16:L41),"&lt;120 ECTS"),"FEHLER")</f>
        <v>&lt;120 ECTS</v>
      </c>
      <c r="P41" s="35" t="s">
        <v>25</v>
      </c>
    </row>
    <row r="42" spans="1:16" x14ac:dyDescent="0.35">
      <c r="A42" s="17"/>
      <c r="B42" s="74"/>
      <c r="C42" s="75"/>
      <c r="D42" s="76"/>
      <c r="E42" s="76"/>
      <c r="F42" s="77"/>
      <c r="G42" s="18"/>
      <c r="H42" s="19"/>
      <c r="I42" s="10" t="str">
        <f t="shared" si="3"/>
        <v/>
      </c>
      <c r="J42" s="11" t="str">
        <f t="shared" si="4"/>
        <v/>
      </c>
      <c r="K42" s="27" t="str">
        <f>IFERROR(SMALL($I$16:$I$65,3),"")</f>
        <v/>
      </c>
      <c r="L42" s="11" t="str">
        <f>IFERROR(INDEX($J$16:$J$65,MATCH(K42,$I$16:$I$65,0)),"")</f>
        <v/>
      </c>
      <c r="M42" s="25" t="str">
        <f t="shared" si="5"/>
        <v/>
      </c>
      <c r="N42" s="28">
        <f>SUM($L$16:L42)</f>
        <v>0</v>
      </c>
      <c r="O42" s="14" t="str">
        <f>IFERROR(IF(AND(SUM($L$16:L42)&gt;115,SUM($L$16:$L$65)&gt;=120),SUM($M$16:M42)/SUM($L$16:L42),"&lt;120 ECTS"),"FEHLER")</f>
        <v>&lt;120 ECTS</v>
      </c>
      <c r="P42" s="36"/>
    </row>
    <row r="43" spans="1:16" x14ac:dyDescent="0.35">
      <c r="A43" s="17"/>
      <c r="B43" s="74"/>
      <c r="C43" s="75"/>
      <c r="D43" s="76"/>
      <c r="E43" s="76"/>
      <c r="F43" s="77"/>
      <c r="G43" s="18"/>
      <c r="H43" s="19"/>
      <c r="I43" s="10" t="str">
        <f t="shared" si="3"/>
        <v/>
      </c>
      <c r="J43" s="11" t="str">
        <f t="shared" si="4"/>
        <v/>
      </c>
      <c r="K43" s="27" t="str">
        <f>IFERROR(SMALL($I$16:$I$65,4),"")</f>
        <v/>
      </c>
      <c r="L43" s="11" t="str">
        <f>IFERROR(INDEX($J$16:$J$65,MATCH(K43,$I$16:$I$65,0)),"")</f>
        <v/>
      </c>
      <c r="M43" s="25" t="str">
        <f t="shared" si="5"/>
        <v/>
      </c>
      <c r="N43" s="28">
        <f>SUM($L$16:L43)</f>
        <v>0</v>
      </c>
      <c r="O43" s="14" t="str">
        <f>IFERROR(IF(AND(SUM($L$16:L43)&gt;115,SUM($L$16:$L$65)&gt;=120),SUM($M$16:M43)/SUM($L$16:L43),"&lt;120 ECTS"),"FEHLER")</f>
        <v>&lt;120 ECTS</v>
      </c>
      <c r="P43" s="31" t="str">
        <f>IF(ISERROR(MATCH(120,N40:N89,0)),"nein","ja")</f>
        <v>nein</v>
      </c>
    </row>
    <row r="44" spans="1:16" x14ac:dyDescent="0.35">
      <c r="A44" s="17"/>
      <c r="B44" s="74"/>
      <c r="C44" s="75"/>
      <c r="D44" s="76"/>
      <c r="E44" s="76"/>
      <c r="F44" s="77"/>
      <c r="G44" s="18"/>
      <c r="H44" s="19"/>
      <c r="I44" s="10" t="str">
        <f t="shared" si="3"/>
        <v/>
      </c>
      <c r="J44" s="11" t="str">
        <f t="shared" si="4"/>
        <v/>
      </c>
      <c r="K44" s="27" t="str">
        <f>IFERROR(SMALL($I$16:$I$65,5),"")</f>
        <v/>
      </c>
      <c r="L44" s="11" t="str">
        <f>IFERROR(INDEX($J$16:$J$65,MATCH(K44,$I$16:$I$65,0)),"")</f>
        <v/>
      </c>
      <c r="M44" s="25" t="str">
        <f t="shared" si="5"/>
        <v/>
      </c>
      <c r="N44" s="28">
        <f>SUM($L$16:L44)</f>
        <v>0</v>
      </c>
      <c r="O44" s="14" t="str">
        <f>IFERROR(IF(AND(SUM($L$16:L44)&gt;115,SUM($L$16:$L$65)&gt;=120),SUM($M$16:M44)/SUM($L$16:L44),"&lt;120 ECTS"),"FEHLER")</f>
        <v>&lt;120 ECTS</v>
      </c>
      <c r="P44" s="32"/>
    </row>
    <row r="45" spans="1:16" x14ac:dyDescent="0.35">
      <c r="A45" s="17"/>
      <c r="B45" s="74"/>
      <c r="C45" s="75"/>
      <c r="D45" s="76"/>
      <c r="E45" s="76"/>
      <c r="F45" s="77"/>
      <c r="G45" s="18"/>
      <c r="H45" s="19"/>
      <c r="I45" s="10" t="str">
        <f t="shared" si="3"/>
        <v/>
      </c>
      <c r="J45" s="11" t="str">
        <f t="shared" si="4"/>
        <v/>
      </c>
      <c r="K45" s="27" t="str">
        <f>IFERROR(SMALL($I$16:$I$65,6),"")</f>
        <v/>
      </c>
      <c r="L45" s="11" t="str">
        <f>IFERROR(INDEX($J$16:$J$65,MATCH(K45,$I$16:$I$65,0)),"")</f>
        <v/>
      </c>
      <c r="M45" s="25" t="str">
        <f t="shared" si="5"/>
        <v/>
      </c>
      <c r="N45" s="28">
        <f>SUM($L$16:L45)</f>
        <v>0</v>
      </c>
      <c r="O45" s="14" t="str">
        <f>IFERROR(IF(AND(SUM($L$16:L45)&gt;115,SUM($L$16:$L$65)&gt;=120),SUM($M$16:M45)/SUM($L$16:L45),"&lt;120 ECTS"),"FEHLER")</f>
        <v>&lt;120 ECTS</v>
      </c>
      <c r="P45" s="32"/>
    </row>
    <row r="46" spans="1:16" x14ac:dyDescent="0.35">
      <c r="A46" s="17"/>
      <c r="B46" s="74"/>
      <c r="C46" s="75"/>
      <c r="D46" s="76"/>
      <c r="E46" s="76"/>
      <c r="F46" s="77"/>
      <c r="G46" s="18"/>
      <c r="H46" s="19"/>
      <c r="I46" s="10" t="str">
        <f t="shared" si="3"/>
        <v/>
      </c>
      <c r="J46" s="11" t="str">
        <f t="shared" si="4"/>
        <v/>
      </c>
      <c r="K46" s="27" t="str">
        <f>IFERROR(SMALL($I$16:$I$65,7),"")</f>
        <v/>
      </c>
      <c r="L46" s="11" t="str">
        <f>IFERROR(INDEX($J$16:$J$65,MATCH(K46,$I$16:$I$65,0)),"")</f>
        <v/>
      </c>
      <c r="M46" s="25" t="str">
        <f t="shared" si="5"/>
        <v/>
      </c>
      <c r="N46" s="28">
        <f>SUM($L$16:L46)</f>
        <v>0</v>
      </c>
      <c r="O46" s="14" t="str">
        <f>IFERROR(IF(AND(SUM($L$16:L46)&gt;115,SUM($L$16:$L$65)&gt;=120),SUM($M$16:M46)/SUM($L$16:L46),"&lt;120 ECTS"),"FEHLER")</f>
        <v>&lt;120 ECTS</v>
      </c>
      <c r="P46" s="32"/>
    </row>
    <row r="47" spans="1:16" x14ac:dyDescent="0.35">
      <c r="A47" s="17"/>
      <c r="B47" s="74"/>
      <c r="C47" s="75"/>
      <c r="D47" s="76"/>
      <c r="E47" s="76"/>
      <c r="F47" s="77"/>
      <c r="G47" s="18"/>
      <c r="H47" s="19"/>
      <c r="I47" s="10" t="str">
        <f t="shared" si="3"/>
        <v/>
      </c>
      <c r="J47" s="11" t="str">
        <f t="shared" si="4"/>
        <v/>
      </c>
      <c r="K47" s="27" t="str">
        <f>IFERROR(SMALL($I$16:$I$65,18),"")</f>
        <v/>
      </c>
      <c r="L47" s="11" t="str">
        <f>IFERROR(INDEX($J$16:$J$65,MATCH(K47,$I$16:$I$65,0)),"")</f>
        <v/>
      </c>
      <c r="M47" s="25" t="str">
        <f t="shared" si="5"/>
        <v/>
      </c>
      <c r="N47" s="28">
        <f>SUM($L$16:L47)</f>
        <v>0</v>
      </c>
      <c r="O47" s="14" t="str">
        <f>IFERROR(IF(AND(SUM($L$16:L47)&gt;115,SUM($L$16:$L$65)&gt;=120),SUM($M$16:M47)/SUM($L$16:L47),"&lt;120 ECTS"),"FEHLER")</f>
        <v>&lt;120 ECTS</v>
      </c>
      <c r="P47" s="32"/>
    </row>
    <row r="48" spans="1:16" x14ac:dyDescent="0.35">
      <c r="A48" s="17"/>
      <c r="B48" s="34"/>
      <c r="C48" s="50"/>
      <c r="D48" s="50"/>
      <c r="E48" s="50"/>
      <c r="F48" s="50"/>
      <c r="G48" s="18"/>
      <c r="H48" s="19"/>
      <c r="I48" s="10" t="str">
        <f t="shared" si="3"/>
        <v/>
      </c>
      <c r="J48" s="11" t="str">
        <f t="shared" si="4"/>
        <v/>
      </c>
      <c r="K48" s="27" t="str">
        <f>IFERROR(SMALL($I$16:$I$65,19),"")</f>
        <v/>
      </c>
      <c r="L48" s="11" t="str">
        <f>IFERROR(INDEX($J$16:$J$65,MATCH(K48,$I$16:$I$65,0)),"")</f>
        <v/>
      </c>
      <c r="M48" s="25" t="str">
        <f t="shared" si="5"/>
        <v/>
      </c>
      <c r="N48" s="28">
        <f>SUM($L$16:L48)</f>
        <v>0</v>
      </c>
      <c r="O48" s="14" t="str">
        <f>IFERROR(IF(AND(SUM($L$16:L48)&gt;115,SUM($L$16:$L$65)&gt;=120),SUM($M$16:M48)/SUM($L$16:L48),"&lt;120 ECTS"),"FEHLER")</f>
        <v>&lt;120 ECTS</v>
      </c>
      <c r="P48" s="32"/>
    </row>
    <row r="49" spans="1:16" x14ac:dyDescent="0.35">
      <c r="A49" s="17"/>
      <c r="B49" s="34"/>
      <c r="C49" s="50"/>
      <c r="D49" s="50"/>
      <c r="E49" s="50"/>
      <c r="F49" s="50"/>
      <c r="G49" s="18"/>
      <c r="H49" s="19"/>
      <c r="I49" s="10" t="str">
        <f t="shared" si="3"/>
        <v/>
      </c>
      <c r="J49" s="11" t="str">
        <f t="shared" si="4"/>
        <v/>
      </c>
      <c r="K49" s="27" t="str">
        <f>IFERROR(SMALL($I$16:$I$65,20),"")</f>
        <v/>
      </c>
      <c r="L49" s="11" t="str">
        <f>IFERROR(INDEX($J$16:$J$65,MATCH(K49,$I$16:$I$65,0)),"")</f>
        <v/>
      </c>
      <c r="M49" s="25" t="str">
        <f t="shared" si="5"/>
        <v/>
      </c>
      <c r="N49" s="28">
        <f>SUM($L$16:L49)</f>
        <v>0</v>
      </c>
      <c r="O49" s="14" t="str">
        <f>IFERROR(IF(AND(SUM($L$16:L49)&gt;115,SUM($L$16:$L$65)&gt;=120),SUM($M$16:M49)/SUM($L$16:L49),"&lt;120 ECTS"),"FEHLER")</f>
        <v>&lt;120 ECTS</v>
      </c>
      <c r="P49" s="32"/>
    </row>
    <row r="50" spans="1:16" x14ac:dyDescent="0.35">
      <c r="A50" s="17"/>
      <c r="B50" s="34"/>
      <c r="C50" s="50"/>
      <c r="D50" s="50"/>
      <c r="E50" s="50"/>
      <c r="F50" s="50"/>
      <c r="G50" s="18"/>
      <c r="H50" s="19"/>
      <c r="I50" s="10" t="str">
        <f t="shared" si="3"/>
        <v/>
      </c>
      <c r="J50" s="11" t="str">
        <f t="shared" si="4"/>
        <v/>
      </c>
      <c r="K50" s="27" t="str">
        <f>IFERROR(SMALL($I$16:$I$65,8),"")</f>
        <v/>
      </c>
      <c r="L50" s="11" t="str">
        <f>IFERROR(INDEX($J$16:$J$65,MATCH(K50,$I$16:$I$65,0)),"")</f>
        <v/>
      </c>
      <c r="M50" s="25" t="str">
        <f t="shared" si="5"/>
        <v/>
      </c>
      <c r="N50" s="28">
        <f>SUM($L$16:L50)</f>
        <v>0</v>
      </c>
      <c r="O50" s="14" t="str">
        <f>IFERROR(IF(AND(SUM($L$16:L50)&gt;115,SUM($L$16:$L$65)&gt;=120),SUM($M$16:M50)/SUM($L$16:L50),"&lt;120 ECTS"),"FEHLER")</f>
        <v>&lt;120 ECTS</v>
      </c>
      <c r="P50" s="32"/>
    </row>
    <row r="51" spans="1:16" x14ac:dyDescent="0.35">
      <c r="A51" s="17"/>
      <c r="B51" s="34"/>
      <c r="C51" s="50"/>
      <c r="D51" s="50"/>
      <c r="E51" s="50"/>
      <c r="F51" s="50"/>
      <c r="G51" s="18"/>
      <c r="H51" s="19"/>
      <c r="I51" s="10" t="str">
        <f t="shared" si="3"/>
        <v/>
      </c>
      <c r="J51" s="11" t="str">
        <f t="shared" si="4"/>
        <v/>
      </c>
      <c r="K51" s="27" t="str">
        <f>IFERROR(SMALL($I$16:$I$65,9),"")</f>
        <v/>
      </c>
      <c r="L51" s="11" t="str">
        <f>IFERROR(INDEX($J$16:$J$65,MATCH(K51,$I$16:$I$65,0)),"")</f>
        <v/>
      </c>
      <c r="M51" s="25" t="str">
        <f t="shared" si="5"/>
        <v/>
      </c>
      <c r="N51" s="28">
        <f>SUM($L$16:L51)</f>
        <v>0</v>
      </c>
      <c r="O51" s="14" t="str">
        <f>IFERROR(IF(AND(SUM($L$16:L51)&gt;115,SUM($L$16:$L$65)&gt;=120),SUM($M$16:M51)/SUM($L$16:L51),"&lt;120 ECTS"),"FEHLER")</f>
        <v>&lt;120 ECTS</v>
      </c>
      <c r="P51" s="32"/>
    </row>
    <row r="52" spans="1:16" x14ac:dyDescent="0.35">
      <c r="A52" s="17"/>
      <c r="B52" s="34"/>
      <c r="C52" s="50"/>
      <c r="D52" s="50"/>
      <c r="E52" s="50"/>
      <c r="F52" s="50"/>
      <c r="G52" s="18"/>
      <c r="H52" s="19"/>
      <c r="I52" s="10" t="str">
        <f t="shared" si="3"/>
        <v/>
      </c>
      <c r="J52" s="11" t="str">
        <f t="shared" si="4"/>
        <v/>
      </c>
      <c r="K52" s="27" t="str">
        <f>IFERROR(SMALL($I$16:$I$65,10),"")</f>
        <v/>
      </c>
      <c r="L52" s="11" t="str">
        <f>IFERROR(INDEX($J$16:$J$65,MATCH(K52,$I$16:$I$65,0)),"")</f>
        <v/>
      </c>
      <c r="M52" s="25" t="str">
        <f t="shared" si="5"/>
        <v/>
      </c>
      <c r="N52" s="28">
        <f>SUM($L$16:L52)</f>
        <v>0</v>
      </c>
      <c r="O52" s="14" t="str">
        <f>IFERROR(IF(AND(SUM($L$16:L52)&gt;115,SUM($L$16:$L$65)&gt;=120),SUM($M$16:M52)/SUM($L$16:L52),"&lt;120 ECTS"),"FEHLER")</f>
        <v>&lt;120 ECTS</v>
      </c>
      <c r="P52" s="32"/>
    </row>
    <row r="53" spans="1:16" x14ac:dyDescent="0.35">
      <c r="A53" s="17"/>
      <c r="B53" s="34"/>
      <c r="C53" s="50"/>
      <c r="D53" s="50"/>
      <c r="E53" s="50"/>
      <c r="F53" s="50"/>
      <c r="G53" s="18"/>
      <c r="H53" s="19"/>
      <c r="I53" s="10" t="str">
        <f t="shared" si="3"/>
        <v/>
      </c>
      <c r="J53" s="11" t="str">
        <f t="shared" si="4"/>
        <v/>
      </c>
      <c r="K53" s="27" t="str">
        <f>IFERROR(SMALL($I$16:$I$65,11),"")</f>
        <v/>
      </c>
      <c r="L53" s="11" t="str">
        <f>IFERROR(INDEX($J$16:$J$65,MATCH(K53,$I$16:$I$65,0)),"")</f>
        <v/>
      </c>
      <c r="M53" s="25" t="str">
        <f t="shared" si="5"/>
        <v/>
      </c>
      <c r="N53" s="28">
        <f>SUM($L$16:L53)</f>
        <v>0</v>
      </c>
      <c r="O53" s="14" t="str">
        <f>IFERROR(IF(AND(SUM($L$16:L53)&gt;115,SUM($L$16:$L$65)&gt;=120),SUM($M$16:M53)/SUM($L$16:L53),"&lt;120 ECTS"),"FEHLER")</f>
        <v>&lt;120 ECTS</v>
      </c>
      <c r="P53" s="32"/>
    </row>
    <row r="54" spans="1:16" x14ac:dyDescent="0.35">
      <c r="A54" s="17"/>
      <c r="B54" s="34"/>
      <c r="C54" s="50"/>
      <c r="D54" s="50"/>
      <c r="E54" s="50"/>
      <c r="F54" s="50"/>
      <c r="G54" s="18"/>
      <c r="H54" s="19"/>
      <c r="I54" s="10" t="str">
        <f t="shared" si="3"/>
        <v/>
      </c>
      <c r="J54" s="11" t="str">
        <f t="shared" si="4"/>
        <v/>
      </c>
      <c r="K54" s="27" t="str">
        <f>IFERROR(SMALL($I$16:$I$65,12),"")</f>
        <v/>
      </c>
      <c r="L54" s="11" t="str">
        <f>IFERROR(INDEX($J$16:$J$65,MATCH(K54,$I$16:$I$65,0)),"")</f>
        <v/>
      </c>
      <c r="M54" s="25" t="str">
        <f t="shared" si="5"/>
        <v/>
      </c>
      <c r="N54" s="28">
        <f>SUM($L$16:L54)</f>
        <v>0</v>
      </c>
      <c r="O54" s="14" t="str">
        <f>IFERROR(IF(AND(SUM($L$16:L54)&gt;115,SUM($L$16:$L$65)&gt;=120),SUM($M$16:M54)/SUM($L$16:L54),"&lt;120 ECTS"),"FEHLER")</f>
        <v>&lt;120 ECTS</v>
      </c>
      <c r="P54" s="32"/>
    </row>
    <row r="55" spans="1:16" x14ac:dyDescent="0.35">
      <c r="A55" s="17"/>
      <c r="B55" s="34"/>
      <c r="C55" s="50"/>
      <c r="D55" s="50"/>
      <c r="E55" s="50"/>
      <c r="F55" s="50"/>
      <c r="G55" s="18"/>
      <c r="H55" s="19"/>
      <c r="I55" s="10" t="str">
        <f t="shared" si="3"/>
        <v/>
      </c>
      <c r="J55" s="11" t="str">
        <f t="shared" si="4"/>
        <v/>
      </c>
      <c r="K55" s="27" t="str">
        <f>IFERROR(SMALL($I$16:$I$65,13),"")</f>
        <v/>
      </c>
      <c r="L55" s="11" t="str">
        <f>IFERROR(INDEX($J$16:$J$65,MATCH(K55,$I$16:$I$65,0)),"")</f>
        <v/>
      </c>
      <c r="M55" s="25" t="str">
        <f t="shared" si="5"/>
        <v/>
      </c>
      <c r="N55" s="28">
        <f>SUM($L$16:L55)</f>
        <v>0</v>
      </c>
      <c r="O55" s="14" t="str">
        <f>IFERROR(IF(AND(SUM($L$16:L55)&gt;115,SUM($L$16:$L$65)&gt;=120),SUM($M$16:M55)/SUM($L$16:L55),"&lt;120 ECTS"),"FEHLER")</f>
        <v>&lt;120 ECTS</v>
      </c>
      <c r="P55" s="32"/>
    </row>
    <row r="56" spans="1:16" x14ac:dyDescent="0.35">
      <c r="A56" s="17"/>
      <c r="B56" s="34"/>
      <c r="C56" s="50"/>
      <c r="D56" s="50"/>
      <c r="E56" s="50"/>
      <c r="F56" s="50"/>
      <c r="G56" s="18"/>
      <c r="H56" s="19"/>
      <c r="I56" s="10" t="str">
        <f t="shared" si="3"/>
        <v/>
      </c>
      <c r="J56" s="11" t="str">
        <f t="shared" si="4"/>
        <v/>
      </c>
      <c r="K56" s="27" t="str">
        <f>IFERROR(SMALL($I$16:$I$65,14),"")</f>
        <v/>
      </c>
      <c r="L56" s="11" t="str">
        <f>IFERROR(INDEX($J$16:$J$65,MATCH(K56,$I$16:$I$65,0)),"")</f>
        <v/>
      </c>
      <c r="M56" s="25" t="str">
        <f t="shared" si="5"/>
        <v/>
      </c>
      <c r="N56" s="28">
        <f>SUM($L$16:L56)</f>
        <v>0</v>
      </c>
      <c r="O56" s="14" t="str">
        <f>IFERROR(IF(AND(SUM($L$16:L56)&gt;115,SUM($L$16:$L$65)&gt;=120),SUM($M$16:M56)/SUM($L$16:L56),"&lt;120 ECTS"),"FEHLER")</f>
        <v>&lt;120 ECTS</v>
      </c>
      <c r="P56" s="32"/>
    </row>
    <row r="57" spans="1:16" x14ac:dyDescent="0.35">
      <c r="A57" s="17"/>
      <c r="B57" s="34"/>
      <c r="C57" s="50"/>
      <c r="D57" s="50"/>
      <c r="E57" s="50"/>
      <c r="F57" s="50"/>
      <c r="G57" s="18"/>
      <c r="H57" s="19"/>
      <c r="I57" s="10" t="str">
        <f t="shared" si="3"/>
        <v/>
      </c>
      <c r="J57" s="11" t="str">
        <f t="shared" si="4"/>
        <v/>
      </c>
      <c r="K57" s="27" t="str">
        <f>IFERROR(SMALL($I$16:$I$65,15),"")</f>
        <v/>
      </c>
      <c r="L57" s="11" t="str">
        <f>IFERROR(INDEX($J$16:$J$65,MATCH(K57,$I$16:$I$65,0)),"")</f>
        <v/>
      </c>
      <c r="M57" s="25" t="str">
        <f t="shared" si="5"/>
        <v/>
      </c>
      <c r="N57" s="28">
        <f>SUM($L$16:L57)</f>
        <v>0</v>
      </c>
      <c r="O57" s="14" t="str">
        <f>IFERROR(IF(AND(SUM($L$16:L57)&gt;115,SUM($L$16:$L$65)&gt;=120),SUM($M$16:M57)/SUM($L$16:L57),"&lt;120 ECTS"),"FEHLER")</f>
        <v>&lt;120 ECTS</v>
      </c>
      <c r="P57" s="32"/>
    </row>
    <row r="58" spans="1:16" x14ac:dyDescent="0.35">
      <c r="A58" s="17"/>
      <c r="B58" s="34"/>
      <c r="C58" s="50"/>
      <c r="D58" s="50"/>
      <c r="E58" s="50"/>
      <c r="F58" s="50"/>
      <c r="G58" s="18"/>
      <c r="H58" s="19"/>
      <c r="I58" s="10" t="str">
        <f t="shared" si="3"/>
        <v/>
      </c>
      <c r="J58" s="11" t="str">
        <f t="shared" si="4"/>
        <v/>
      </c>
      <c r="K58" s="27" t="str">
        <f>IFERROR(SMALL($I$16:$I$65,16),"")</f>
        <v/>
      </c>
      <c r="L58" s="11" t="str">
        <f>IFERROR(INDEX($J$16:$J$65,MATCH(K58,$I$16:$I$65,0)),"")</f>
        <v/>
      </c>
      <c r="M58" s="25" t="str">
        <f t="shared" si="5"/>
        <v/>
      </c>
      <c r="N58" s="28">
        <f>SUM($L$16:L58)</f>
        <v>0</v>
      </c>
      <c r="O58" s="14" t="str">
        <f>IFERROR(IF(AND(SUM($L$16:L58)&gt;115,SUM($L$16:$L$65)&gt;=120),SUM($M$16:M58)/SUM($L$16:L58),"&lt;120 ECTS"),"FEHLER")</f>
        <v>&lt;120 ECTS</v>
      </c>
      <c r="P58" s="32"/>
    </row>
    <row r="59" spans="1:16" x14ac:dyDescent="0.35">
      <c r="A59" s="17"/>
      <c r="B59" s="34"/>
      <c r="C59" s="50"/>
      <c r="D59" s="50"/>
      <c r="E59" s="50"/>
      <c r="F59" s="50"/>
      <c r="G59" s="18"/>
      <c r="H59" s="19"/>
      <c r="I59" s="10" t="str">
        <f t="shared" si="3"/>
        <v/>
      </c>
      <c r="J59" s="11" t="str">
        <f t="shared" si="4"/>
        <v/>
      </c>
      <c r="K59" s="27" t="str">
        <f>IFERROR(SMALL($I$16:$I$65,17),"")</f>
        <v/>
      </c>
      <c r="L59" s="11" t="str">
        <f>IFERROR(INDEX($J$16:$J$65,MATCH(K59,$I$16:$I$65,0)),"")</f>
        <v/>
      </c>
      <c r="M59" s="25" t="str">
        <f t="shared" si="5"/>
        <v/>
      </c>
      <c r="N59" s="28">
        <f>SUM($L$16:L59)</f>
        <v>0</v>
      </c>
      <c r="O59" s="14" t="str">
        <f>IFERROR(IF(AND(SUM($L$16:L59)&gt;115,SUM($L$16:$L$65)&gt;=120),SUM($M$16:M59)/SUM($L$16:L59),"&lt;120 ECTS"),"FEHLER")</f>
        <v>&lt;120 ECTS</v>
      </c>
      <c r="P59" s="32"/>
    </row>
    <row r="60" spans="1:16" x14ac:dyDescent="0.35">
      <c r="A60" s="17"/>
      <c r="B60" s="34"/>
      <c r="C60" s="50"/>
      <c r="D60" s="50"/>
      <c r="E60" s="50"/>
      <c r="F60" s="50"/>
      <c r="G60" s="18"/>
      <c r="H60" s="19"/>
      <c r="I60" s="10" t="str">
        <f t="shared" si="3"/>
        <v/>
      </c>
      <c r="J60" s="11" t="str">
        <f t="shared" si="4"/>
        <v/>
      </c>
      <c r="K60" s="27" t="str">
        <f>IFERROR(SMALL($I$16:$I$65,18),"")</f>
        <v/>
      </c>
      <c r="L60" s="11" t="str">
        <f>IFERROR(INDEX($J$16:$J$65,MATCH(K60,$I$16:$I$65,0)),"")</f>
        <v/>
      </c>
      <c r="M60" s="25" t="str">
        <f t="shared" si="5"/>
        <v/>
      </c>
      <c r="N60" s="28">
        <f>SUM($L$16:L60)</f>
        <v>0</v>
      </c>
      <c r="O60" s="14" t="str">
        <f>IFERROR(IF(AND(SUM($L$16:L60)&gt;115,SUM($L$16:$L$65)&gt;=120),SUM($M$16:M60)/SUM($L$16:L60),"&lt;120 ECTS"),"FEHLER")</f>
        <v>&lt;120 ECTS</v>
      </c>
      <c r="P60" s="32"/>
    </row>
    <row r="61" spans="1:16" x14ac:dyDescent="0.35">
      <c r="A61" s="17"/>
      <c r="B61" s="34"/>
      <c r="C61" s="50"/>
      <c r="D61" s="50"/>
      <c r="E61" s="50"/>
      <c r="F61" s="50"/>
      <c r="G61" s="18"/>
      <c r="H61" s="19"/>
      <c r="I61" s="10" t="str">
        <f t="shared" si="3"/>
        <v/>
      </c>
      <c r="J61" s="11" t="str">
        <f t="shared" si="4"/>
        <v/>
      </c>
      <c r="K61" s="27" t="str">
        <f>IFERROR(SMALL($I$16:$I$65,19),"")</f>
        <v/>
      </c>
      <c r="L61" s="11" t="str">
        <f>IFERROR(INDEX($J$16:$J$65,MATCH(K61,$I$16:$I$65,0)),"")</f>
        <v/>
      </c>
      <c r="M61" s="25" t="str">
        <f t="shared" si="5"/>
        <v/>
      </c>
      <c r="N61" s="28">
        <f>SUM($L$16:L61)</f>
        <v>0</v>
      </c>
      <c r="O61" s="14" t="str">
        <f>IFERROR(IF(AND(SUM($L$16:L61)&gt;115,SUM($L$16:$L$65)&gt;=120),SUM($M$16:M61)/SUM($L$16:L61),"&lt;120 ECTS"),"FEHLER")</f>
        <v>&lt;120 ECTS</v>
      </c>
      <c r="P61" s="32"/>
    </row>
    <row r="62" spans="1:16" x14ac:dyDescent="0.35">
      <c r="A62" s="17"/>
      <c r="B62" s="34"/>
      <c r="C62" s="50"/>
      <c r="D62" s="50"/>
      <c r="E62" s="50"/>
      <c r="F62" s="50"/>
      <c r="G62" s="18"/>
      <c r="H62" s="19"/>
      <c r="I62" s="10" t="str">
        <f t="shared" si="3"/>
        <v/>
      </c>
      <c r="J62" s="11" t="str">
        <f t="shared" si="4"/>
        <v/>
      </c>
      <c r="K62" s="27" t="str">
        <f>IFERROR(SMALL($I$16:$I$65,20),"")</f>
        <v/>
      </c>
      <c r="L62" s="11" t="str">
        <f>IFERROR(INDEX($J$16:$J$65,MATCH(K62,$I$16:$I$65,0)),"")</f>
        <v/>
      </c>
      <c r="M62" s="25" t="str">
        <f t="shared" si="5"/>
        <v/>
      </c>
      <c r="N62" s="28">
        <f>SUM($L$16:L62)</f>
        <v>0</v>
      </c>
      <c r="O62" s="14" t="str">
        <f>IFERROR(IF(AND(SUM($L$16:L62)&gt;115,SUM($L$16:$L$65)&gt;=120),SUM($M$16:M62)/SUM($L$16:L62),"&lt;120 ECTS"),"FEHLER")</f>
        <v>&lt;120 ECTS</v>
      </c>
      <c r="P62" s="32"/>
    </row>
    <row r="63" spans="1:16" x14ac:dyDescent="0.35">
      <c r="A63" s="17"/>
      <c r="B63" s="34"/>
      <c r="C63" s="68"/>
      <c r="D63" s="69"/>
      <c r="E63" s="69"/>
      <c r="F63" s="70"/>
      <c r="G63" s="18"/>
      <c r="H63" s="19"/>
      <c r="I63" s="10"/>
      <c r="J63" s="11"/>
      <c r="K63" s="27"/>
      <c r="L63" s="11"/>
      <c r="M63" s="25"/>
      <c r="N63" s="28"/>
      <c r="O63" s="14"/>
      <c r="P63" s="32"/>
    </row>
    <row r="64" spans="1:16" x14ac:dyDescent="0.35">
      <c r="A64" s="17"/>
      <c r="B64" s="22"/>
      <c r="C64" s="50"/>
      <c r="D64" s="50"/>
      <c r="E64" s="50"/>
      <c r="F64" s="50"/>
      <c r="G64" s="18"/>
      <c r="H64" s="19"/>
      <c r="I64" s="10" t="str">
        <f t="shared" si="0"/>
        <v/>
      </c>
      <c r="J64" s="11" t="str">
        <f t="shared" si="1"/>
        <v/>
      </c>
      <c r="K64" s="27" t="str">
        <f>IFERROR(SMALL($I$16:$I$65,24),"")</f>
        <v/>
      </c>
      <c r="L64" s="11" t="str">
        <f>IFERROR(INDEX($J$16:$J$65,MATCH(K64,$I$16:$I$65,0)),"")</f>
        <v/>
      </c>
      <c r="M64" s="25" t="str">
        <f t="shared" si="2"/>
        <v/>
      </c>
      <c r="N64" s="28">
        <f>SUM($L$16:L64)</f>
        <v>0</v>
      </c>
      <c r="O64" s="14" t="str">
        <f>IFERROR(IF(AND(SUM($L$16:L64)&gt;115,SUM($L$16:$L$65)&gt;=120),SUM($M$16:M64)/SUM($L$16:L64),"&lt;120 ECTS"),"FEHLER")</f>
        <v>&lt;120 ECTS</v>
      </c>
      <c r="P64" s="32"/>
    </row>
    <row r="65" spans="1:16" ht="13.9" thickBot="1" x14ac:dyDescent="0.4">
      <c r="A65" s="20"/>
      <c r="B65" s="23"/>
      <c r="C65" s="52"/>
      <c r="D65" s="52"/>
      <c r="E65" s="52"/>
      <c r="F65" s="52"/>
      <c r="G65" s="21"/>
      <c r="H65" s="33"/>
      <c r="I65" s="10" t="str">
        <f t="shared" si="0"/>
        <v/>
      </c>
      <c r="J65" s="11" t="str">
        <f t="shared" si="1"/>
        <v/>
      </c>
      <c r="K65" s="27" t="str">
        <f>IFERROR(SMALL($I$16:$I$65,25),"")</f>
        <v/>
      </c>
      <c r="L65" s="11" t="str">
        <f>IFERROR(INDEX($J$16:$J$65,MATCH(K65,$I$16:$I$65,0)),"")</f>
        <v/>
      </c>
      <c r="M65" s="25" t="str">
        <f t="shared" si="2"/>
        <v/>
      </c>
      <c r="N65" s="28">
        <f>SUM($L$16:L65)</f>
        <v>0</v>
      </c>
      <c r="O65" s="14" t="str">
        <f>IFERROR(IF(AND(SUM($L$16:L65)&gt;115,SUM($L$16:$L$65)&gt;=120),SUM($M$16:M65)/SUM($L$16:L65),"&lt;120 ECTS"),"FEHLER")</f>
        <v>&lt;120 ECTS</v>
      </c>
      <c r="P65" s="32"/>
    </row>
    <row r="66" spans="1:16" ht="12" customHeight="1" thickBot="1" x14ac:dyDescent="0.4"/>
    <row r="67" spans="1:16" ht="14.25" customHeight="1" x14ac:dyDescent="0.35">
      <c r="A67" s="53" t="s">
        <v>15</v>
      </c>
      <c r="B67" s="54"/>
      <c r="C67" s="54"/>
      <c r="D67" s="7">
        <f>SUM(G16:G65)</f>
        <v>0</v>
      </c>
      <c r="F67" s="59" t="str">
        <f>IF(D67&lt;120,"Sie haben zu wenige Module eingegeben (vgl. Ausfüllhinweise) - bitte fügen Sie Module hinzu!",IF(AND(D67&gt;=120,D68="---"),"Sie haben zu wenige benotete Module eingegeben (vgl. Ausfüllhinweise) - bitte ergänzen Sie Ihre Noten!",IF(P19="ja","Eingaben ok","Eingaben ok - die Durchschnittsnote wird, bedingt durch die ECTS der eingetragenen Module, aus "&amp;P16&amp;" ECTS berechnet")))</f>
        <v>Sie haben zu wenige Module eingegeben (vgl. Ausfüllhinweise) - bitte fügen Sie Module hinzu!</v>
      </c>
      <c r="G67" s="60"/>
      <c r="H67" s="61"/>
    </row>
    <row r="68" spans="1:16" x14ac:dyDescent="0.35">
      <c r="A68" s="55" t="s">
        <v>27</v>
      </c>
      <c r="B68" s="56"/>
      <c r="C68" s="56"/>
      <c r="D68" s="8" t="str">
        <f>IF(ROUNDDOWN(MIN(O16:O65),1)=0,"---",IF(P19="ja",ROUNDDOWN(VLOOKUP(120,N16:O65,2,0),1),ROUNDDOWN(MIN(O16:O65),1)))</f>
        <v>---</v>
      </c>
      <c r="F68" s="62"/>
      <c r="G68" s="63"/>
      <c r="H68" s="64"/>
    </row>
    <row r="69" spans="1:16" ht="14.25" thickBot="1" x14ac:dyDescent="0.4">
      <c r="A69" s="57" t="s">
        <v>16</v>
      </c>
      <c r="B69" s="58"/>
      <c r="C69" s="58"/>
      <c r="D69" s="15" t="str">
        <f>IF(OR(D68&lt;1,D68&gt;4,D68="---"),"",IF(D68&lt;1.1,"30 (von 30)",IF(D68&lt;1.2,"29 (von 30)",IF(D68&lt;1.3,"28 (von 30)",IF(D68&lt;1.4,"27 (von 30)",IF(D68&lt;1.5,"26 (von 30)",IF(D68&lt;1.6,"25 (von 30)",IF(D68&lt;1.7,"24 (von 30)",IF(D68&lt;1.8,"23 (von 30)",IF(D68&lt;1.9,"22 (von 30)",IF(D68&lt;2,"21 (von 30)",IF(D68&lt;2.1,"20 (von 30)",IF(D68&lt;2.2,"19 (von 30)",IF(D68&lt;2.3,"18 (von 30)",IF(D68&lt;2.4,"17 (von 30)",IF(D68&lt;2.5,"16 (von 30)",IF(D68&lt;2.6,"15 (von 30)",IF(D68&lt;2.7,"14 (von 30)",IF(D68&lt;2.8,"13 (von 30)",IF(D68&lt;2.9,"12 (von 30)",IF(D68&lt;3,"11 (von 30)",IF(D68&lt;3.1,"10 (von 30)",IF(D68&lt;3.2,"9 (von 30)",IF(D68&lt;3.3,"8 (von 30)",IF(D68&lt;3.4,"7 (von 30)",IF(D68&lt;3.5,"6 (von 30)",IF(D68&lt;3.6,"5 (von 30)",IF(D68&lt;3.7,"4 (von 30)",IF(D68&lt;3.8,"3 (von 30)",IF(D68&lt;3.9,"2 (von 30)",IF(D68&lt;4,"1 (von 30)","0 (von 15)")))))))))))))))))))))))))))))))</f>
        <v/>
      </c>
      <c r="F69" s="65"/>
      <c r="G69" s="66"/>
      <c r="H69" s="67"/>
    </row>
  </sheetData>
  <sheetProtection algorithmName="SHA-512" hashValue="nV32UDnaqDzqh9ZQ6LU5Ik6M6wY/Q8aX59SBjQ/mGfmLbHkgZWGQXtv7oGBScyDlTCpgufgkJE261+RCiSaMSQ==" saltValue="u2Ng4gkerwKm+sUlJ+hASA==" spinCount="100000" sheet="1" selectLockedCells="1"/>
  <sortState ref="A18:P67">
    <sortCondition ref="M18:M67"/>
  </sortState>
  <mergeCells count="73">
    <mergeCell ref="C43:F43"/>
    <mergeCell ref="C41:F41"/>
    <mergeCell ref="C44:F44"/>
    <mergeCell ref="C45:F45"/>
    <mergeCell ref="C24:F24"/>
    <mergeCell ref="C39:F39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8:F38"/>
    <mergeCell ref="C36:F36"/>
    <mergeCell ref="C37:F37"/>
    <mergeCell ref="C34:F34"/>
    <mergeCell ref="C19:F19"/>
    <mergeCell ref="C20:F20"/>
    <mergeCell ref="C21:F21"/>
    <mergeCell ref="C22:F22"/>
    <mergeCell ref="C23:F23"/>
    <mergeCell ref="C62:F62"/>
    <mergeCell ref="C47:F47"/>
    <mergeCell ref="C48:F48"/>
    <mergeCell ref="C49:F49"/>
    <mergeCell ref="C46:F46"/>
    <mergeCell ref="C42:F42"/>
    <mergeCell ref="C57:F57"/>
    <mergeCell ref="C58:F58"/>
    <mergeCell ref="C59:F59"/>
    <mergeCell ref="C60:F60"/>
    <mergeCell ref="C61:F61"/>
    <mergeCell ref="C63:F63"/>
    <mergeCell ref="P41:P42"/>
    <mergeCell ref="C50:F50"/>
    <mergeCell ref="C51:F51"/>
    <mergeCell ref="C52:F52"/>
    <mergeCell ref="C53:F53"/>
    <mergeCell ref="C54:F54"/>
    <mergeCell ref="C55:F55"/>
    <mergeCell ref="C56:F56"/>
    <mergeCell ref="C64:F64"/>
    <mergeCell ref="C65:F65"/>
    <mergeCell ref="A67:C67"/>
    <mergeCell ref="A68:C68"/>
    <mergeCell ref="A69:C69"/>
    <mergeCell ref="F67:H69"/>
    <mergeCell ref="C35:F35"/>
    <mergeCell ref="A1:H2"/>
    <mergeCell ref="B4:H4"/>
    <mergeCell ref="B5:H5"/>
    <mergeCell ref="C15:F15"/>
    <mergeCell ref="C16:F16"/>
    <mergeCell ref="C17:F17"/>
    <mergeCell ref="C18:F18"/>
    <mergeCell ref="B7:C7"/>
    <mergeCell ref="D7:E7"/>
    <mergeCell ref="F7:H7"/>
    <mergeCell ref="F8:H8"/>
    <mergeCell ref="F9:H9"/>
    <mergeCell ref="P17:P18"/>
    <mergeCell ref="A12:H12"/>
    <mergeCell ref="A13:H13"/>
    <mergeCell ref="B8:C8"/>
    <mergeCell ref="B9:C9"/>
    <mergeCell ref="B10:C10"/>
    <mergeCell ref="D8:E8"/>
    <mergeCell ref="D9:E9"/>
    <mergeCell ref="D10:E10"/>
    <mergeCell ref="F10:H10"/>
  </mergeCells>
  <conditionalFormatting sqref="F67:H69">
    <cfRule type="containsText" dxfId="15" priority="9" operator="containsText" text="Sie haben zu wenige benotete Module eingegeben (vgl. Ausfüllhinweise) - bitte ergänzen Sie Ihre Noten!">
      <formula>NOT(ISERROR(SEARCH("Sie haben zu wenige benotete Module eingegeben (vgl. Ausfüllhinweise) - bitte ergänzen Sie Ihre Noten!",F67)))</formula>
    </cfRule>
    <cfRule type="containsText" dxfId="14" priority="14" operator="containsText" text="ok">
      <formula>NOT(ISERROR(SEARCH("ok",F67)))</formula>
    </cfRule>
    <cfRule type="containsText" dxfId="13" priority="15" operator="containsText" text="Sie haben zu wenige Module eingegeben (vgl. Ausfüllhinweise) - bitte fügen Sie Module hinzu!">
      <formula>NOT(ISERROR(SEARCH("Sie haben zu wenige Module eingegeben (vgl. Ausfüllhinweise) - bitte fügen Sie Module hinzu!",F67)))</formula>
    </cfRule>
    <cfRule type="containsText" dxfId="12" priority="16" operator="containsText" text="Bitte überprüfen Sie, ob Sie zu viele Module eingegeben haben! (vgl. Ausfüllhinweise)">
      <formula>NOT(ISERROR(SEARCH("Bitte überprüfen Sie, ob Sie zu viele Module eingegeben haben! (vgl. Ausfüllhinweise)",F67)))</formula>
    </cfRule>
  </conditionalFormatting>
  <conditionalFormatting sqref="D69">
    <cfRule type="containsText" dxfId="11" priority="13" operator="containsText" text="Eingabefehler!">
      <formula>NOT(ISERROR(SEARCH("Eingabefehler!",D69)))</formula>
    </cfRule>
  </conditionalFormatting>
  <conditionalFormatting sqref="O16:O40 O63:O65">
    <cfRule type="containsText" dxfId="10" priority="12" operator="containsText" text="&lt;100 ECTS">
      <formula>NOT(ISERROR(SEARCH("&lt;100 ECTS",O16)))</formula>
    </cfRule>
  </conditionalFormatting>
  <conditionalFormatting sqref="P19">
    <cfRule type="containsText" dxfId="9" priority="10" operator="containsText" text="ja">
      <formula>NOT(ISERROR(SEARCH("ja",P19)))</formula>
    </cfRule>
    <cfRule type="containsText" dxfId="8" priority="11" operator="containsText" text="nein">
      <formula>NOT(ISERROR(SEARCH("nein",P19)))</formula>
    </cfRule>
  </conditionalFormatting>
  <conditionalFormatting sqref="O16">
    <cfRule type="containsText" dxfId="7" priority="8" operator="containsText" text="&lt;120 ECTS">
      <formula>NOT(ISERROR(SEARCH("&lt;120 ECTS",O16)))</formula>
    </cfRule>
  </conditionalFormatting>
  <conditionalFormatting sqref="O17:O40 O63:O65">
    <cfRule type="containsText" dxfId="6" priority="7" operator="containsText" text="&lt;120 ECTS">
      <formula>NOT(ISERROR(SEARCH("&lt;120 ECTS",O17)))</formula>
    </cfRule>
  </conditionalFormatting>
  <conditionalFormatting sqref="O41:O46 O50:O62">
    <cfRule type="containsText" dxfId="5" priority="6" operator="containsText" text="&lt;100 ECTS">
      <formula>NOT(ISERROR(SEARCH("&lt;100 ECTS",O41)))</formula>
    </cfRule>
  </conditionalFormatting>
  <conditionalFormatting sqref="P43">
    <cfRule type="containsText" dxfId="4" priority="4" operator="containsText" text="ja">
      <formula>NOT(ISERROR(SEARCH("ja",P43)))</formula>
    </cfRule>
    <cfRule type="containsText" dxfId="3" priority="5" operator="containsText" text="nein">
      <formula>NOT(ISERROR(SEARCH("nein",P43)))</formula>
    </cfRule>
  </conditionalFormatting>
  <conditionalFormatting sqref="O41:O46 O50:O62">
    <cfRule type="containsText" dxfId="2" priority="3" operator="containsText" text="&lt;120 ECTS">
      <formula>NOT(ISERROR(SEARCH("&lt;120 ECTS",O41)))</formula>
    </cfRule>
  </conditionalFormatting>
  <conditionalFormatting sqref="O47:O49">
    <cfRule type="containsText" dxfId="1" priority="2" operator="containsText" text="&lt;100 ECTS">
      <formula>NOT(ISERROR(SEARCH("&lt;100 ECTS",O47)))</formula>
    </cfRule>
  </conditionalFormatting>
  <conditionalFormatting sqref="O47:O49">
    <cfRule type="containsText" dxfId="0" priority="1" operator="containsText" text="&lt;120 ECTS">
      <formula>NOT(ISERROR(SEARCH("&lt;120 ECTS",O47)))</formula>
    </cfRule>
  </conditionalFormatting>
  <dataValidations count="6">
    <dataValidation type="list" allowBlank="1" showInputMessage="1" showErrorMessage="1" sqref="A16:A65" xr:uid="{00000000-0002-0000-0000-000000000000}">
      <formula1>"1, 2, 3"</formula1>
    </dataValidation>
    <dataValidation type="decimal" allowBlank="1" showInputMessage="1" showErrorMessage="1" sqref="H16:H65" xr:uid="{00000000-0002-0000-0000-000001000000}">
      <formula1>1</formula1>
      <formula2>4.5</formula2>
    </dataValidation>
    <dataValidation type="decimal" allowBlank="1" showInputMessage="1" showErrorMessage="1" sqref="G16:G65" xr:uid="{00000000-0002-0000-0000-000002000000}">
      <formula1>1</formula1>
      <formula2>100</formula2>
    </dataValidation>
    <dataValidation type="date" operator="greaterThan" allowBlank="1" showInputMessage="1" showErrorMessage="1" sqref="B5:H5" xr:uid="{00000000-0002-0000-0000-000003000000}">
      <formula1>43739</formula1>
    </dataValidation>
    <dataValidation type="custom" allowBlank="1" showInputMessage="1" showErrorMessage="1" errorTitle="MODUL BEREITS VORHANDEN!" error="Dieser Modultitel wurde bereits eingegeben." sqref="D64:F65 D16:F37 C16:C65 D39:F62" xr:uid="{00000000-0002-0000-0000-000004000000}">
      <formula1>COUNTIF($C$16:$F$65,C16)&lt;=1</formula1>
    </dataValidation>
    <dataValidation type="custom" allowBlank="1" showInputMessage="1" showErrorMessage="1" errorTitle="MODULNUMMER BEREITS VORHANDEN!" error="Diese Modulnummer wurde bereits eingegeben!" sqref="B16:B65" xr:uid="{00000000-0002-0000-0000-000005000000}">
      <formula1>COUNTIF($B$16:$B$65,B16)&lt;=1</formula1>
    </dataValidation>
  </dataValidations>
  <pageMargins left="0.25" right="0.25" top="0.75" bottom="0.75" header="0.3" footer="0.3"/>
  <pageSetup paperSize="9" scale="68" orientation="portrait" r:id="rId1"/>
  <headerFooter>
    <oddHeader>&amp;L&amp;G&amp;C&amp;"Arial,Fett"&amp;8&amp;K0070C0Masterstudiengänge Wirtschaftspädagogik
&amp;"Arial,Standard"Technische Universität München&amp;R&amp;G</oddHeader>
    <oddFooter>&amp;L&amp;"Arial,Standard"&amp;8&amp;K0070C0&amp;A&amp;R&amp;"Arial,Standard"&amp;8&amp;K0070C0&amp;P/&amp;N</oddFooter>
  </headerFooter>
  <ignoredErrors>
    <ignoredError sqref="A8:A10" numberStoredAsText="1"/>
  </ignoredError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Formular Notenberechnung Wipäd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Mordstein</dc:creator>
  <cp:lastModifiedBy>Darya Ratkova</cp:lastModifiedBy>
  <cp:lastPrinted>2025-01-07T08:02:15Z</cp:lastPrinted>
  <dcterms:created xsi:type="dcterms:W3CDTF">2019-09-11T12:30:11Z</dcterms:created>
  <dcterms:modified xsi:type="dcterms:W3CDTF">2025-01-07T08:07:48Z</dcterms:modified>
</cp:coreProperties>
</file>