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tudiendekanat Berufliche Bildung\Wirtschaftspädagogik_MSc\Eignungsverfahren\Noteneingabe_Leistungsuebersicht\"/>
    </mc:Choice>
  </mc:AlternateContent>
  <bookViews>
    <workbookView xWindow="0" yWindow="0" windowWidth="28800" windowHeight="11700"/>
  </bookViews>
  <sheets>
    <sheet name="Formular Notenberechnung Wipäd" sheetId="1" r:id="rId1"/>
  </sheets>
  <definedNames>
    <definedName name="_xlnm._FilterDatabase" localSheetId="0" hidden="1">'Formular Notenberechnung Wipäd'!$M$15:$O$40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K34" i="1" l="1"/>
  <c r="K26" i="1"/>
  <c r="K18" i="1"/>
  <c r="K23" i="1"/>
  <c r="K27" i="1"/>
  <c r="K33" i="1"/>
  <c r="K25" i="1"/>
  <c r="K17" i="1"/>
  <c r="K31" i="1"/>
  <c r="K40" i="1"/>
  <c r="K32" i="1"/>
  <c r="K24" i="1"/>
  <c r="K16" i="1"/>
  <c r="K39" i="1"/>
  <c r="K20" i="1"/>
  <c r="K19" i="1"/>
  <c r="K38" i="1"/>
  <c r="K30" i="1"/>
  <c r="K22" i="1"/>
  <c r="K21" i="1"/>
  <c r="K28" i="1"/>
  <c r="K35" i="1"/>
  <c r="K37" i="1"/>
  <c r="K29" i="1"/>
  <c r="K36" i="1"/>
  <c r="L26" i="1" l="1"/>
  <c r="M26" i="1" s="1"/>
  <c r="L31" i="1"/>
  <c r="M31" i="1" s="1"/>
  <c r="L34" i="1"/>
  <c r="M34" i="1" s="1"/>
  <c r="L29" i="1"/>
  <c r="M29" i="1" s="1"/>
  <c r="L19" i="1"/>
  <c r="M19" i="1" s="1"/>
  <c r="L17" i="1"/>
  <c r="M17" i="1" s="1"/>
  <c r="L37" i="1"/>
  <c r="M37" i="1" s="1"/>
  <c r="L20" i="1"/>
  <c r="M20" i="1" s="1"/>
  <c r="L25" i="1"/>
  <c r="M25" i="1" s="1"/>
  <c r="L30" i="1"/>
  <c r="M30" i="1" s="1"/>
  <c r="L38" i="1"/>
  <c r="M38" i="1" s="1"/>
  <c r="L33" i="1"/>
  <c r="M33" i="1" s="1"/>
  <c r="L16" i="1"/>
  <c r="L21" i="1"/>
  <c r="M21" i="1" s="1"/>
  <c r="L24" i="1"/>
  <c r="M24" i="1" s="1"/>
  <c r="L23" i="1"/>
  <c r="M23" i="1" s="1"/>
  <c r="L40" i="1"/>
  <c r="M40" i="1" s="1"/>
  <c r="L36" i="1"/>
  <c r="M36" i="1" s="1"/>
  <c r="L35" i="1"/>
  <c r="M35" i="1" s="1"/>
  <c r="L39" i="1"/>
  <c r="M39" i="1" s="1"/>
  <c r="L28" i="1"/>
  <c r="M28" i="1" s="1"/>
  <c r="L27" i="1"/>
  <c r="M27" i="1" s="1"/>
  <c r="L22" i="1"/>
  <c r="M22" i="1" s="1"/>
  <c r="L32" i="1"/>
  <c r="M32" i="1" s="1"/>
  <c r="L18" i="1"/>
  <c r="M18" i="1" s="1"/>
  <c r="D42" i="1"/>
  <c r="O18" i="1" l="1"/>
  <c r="O16" i="1"/>
  <c r="O23" i="1"/>
  <c r="O25" i="1"/>
  <c r="O19" i="1"/>
  <c r="O20" i="1"/>
  <c r="O21" i="1"/>
  <c r="O33" i="1"/>
  <c r="O24" i="1"/>
  <c r="O17" i="1"/>
  <c r="M16" i="1"/>
  <c r="O37" i="1" s="1"/>
  <c r="N22" i="1"/>
  <c r="N40" i="1"/>
  <c r="N35" i="1"/>
  <c r="N20" i="1"/>
  <c r="N28" i="1"/>
  <c r="N17" i="1"/>
  <c r="N29" i="1"/>
  <c r="N32" i="1"/>
  <c r="N30" i="1"/>
  <c r="N25" i="1"/>
  <c r="N38" i="1"/>
  <c r="N33" i="1"/>
  <c r="N23" i="1"/>
  <c r="N18" i="1"/>
  <c r="N19" i="1"/>
  <c r="N27" i="1"/>
  <c r="N31" i="1"/>
  <c r="N26" i="1"/>
  <c r="N36" i="1"/>
  <c r="N39" i="1"/>
  <c r="N34" i="1"/>
  <c r="N21" i="1"/>
  <c r="N24" i="1"/>
  <c r="N37" i="1"/>
  <c r="N16" i="1"/>
  <c r="O31" i="1" l="1"/>
  <c r="O34" i="1"/>
  <c r="O32" i="1"/>
  <c r="O28" i="1"/>
  <c r="O26" i="1"/>
  <c r="O29" i="1"/>
  <c r="O30" i="1"/>
  <c r="O22" i="1"/>
  <c r="O27" i="1"/>
  <c r="O35" i="1"/>
  <c r="O40" i="1"/>
  <c r="O39" i="1"/>
  <c r="O36" i="1"/>
  <c r="O38" i="1"/>
  <c r="P19" i="1"/>
  <c r="P16" i="1" l="1"/>
  <c r="D43" i="1"/>
  <c r="F42" i="1" s="1"/>
  <c r="D44" i="1" l="1"/>
</calcChain>
</file>

<file path=xl/comments1.xml><?xml version="1.0" encoding="utf-8"?>
<comments xmlns="http://schemas.openxmlformats.org/spreadsheetml/2006/main">
  <authors>
    <author>Stefan Mordstein</author>
  </authors>
  <commentList>
    <comment ref="O15" authorId="0" shapeId="0">
      <text>
        <r>
          <rPr>
            <b/>
            <sz val="9"/>
            <color indexed="81"/>
            <rFont val="Segoe UI"/>
            <family val="2"/>
          </rPr>
          <t>Stefan Mordstein:</t>
        </r>
        <r>
          <rPr>
            <sz val="9"/>
            <color indexed="81"/>
            <rFont val="Segoe UI"/>
            <family val="2"/>
          </rPr>
          <t xml:space="preserve">
Es kann vorkommen, dass a) Berechnungen mit dem Minimum über 100 schlechter Ausfallen wie mit dem Minimum unter 100 und b) Anstelle von genau 100 mehr ECTS berechnet werden (z.B: 94 Credits eingegeben -&gt; dann zwei Module mit gleichen Noten, eines hat 5, eines 6 Credits -&gt; Excel nimmt das erste, das es findet -&gt; Notenberechnung aus 105 Credits statt aus 100, je nach Eingaben des Bewerbers -&gt; kann die Note um 0,1 verschlechtern.
Zum Ausgleich zum Vorteil des Bewerbers sind hier Notenschnitte ab 96 Credits zugelassen -&gt; Excel wählt die bessere der beiden nähesten an 100.
Grenze 96 Credits: Modulgröße nach KMK mind. 5 Credits, d.h. ab 96 wird es keinen Wert 100 mehr geben, sondern einen Annäherungswert darüber -&gt; ab dann wird ein Vergleich beider Annäherungswerte nötig.</t>
        </r>
      </text>
    </comment>
  </commentList>
</comments>
</file>

<file path=xl/sharedStrings.xml><?xml version="1.0" encoding="utf-8"?>
<sst xmlns="http://schemas.openxmlformats.org/spreadsheetml/2006/main" count="29" uniqueCount="29">
  <si>
    <t>Datum:</t>
  </si>
  <si>
    <t>Name:</t>
  </si>
  <si>
    <t>Vorstudien</t>
  </si>
  <si>
    <t>3</t>
  </si>
  <si>
    <t>2</t>
  </si>
  <si>
    <t>1</t>
  </si>
  <si>
    <t>Abschluss</t>
  </si>
  <si>
    <t>Universität/Hochschule</t>
  </si>
  <si>
    <t>Ausfüllhinweise</t>
  </si>
  <si>
    <t>Modulnummer</t>
  </si>
  <si>
    <t>Modultitel</t>
  </si>
  <si>
    <t>ECTS</t>
  </si>
  <si>
    <t>Note</t>
  </si>
  <si>
    <t>Formular Leistungsübersicht zur Notenberechnung
im Eignungsverfahren der Studiengänge für Wirtschaftspädagogik</t>
  </si>
  <si>
    <t>aus Vorstudium
(vgl. oben)</t>
  </si>
  <si>
    <t>Summe ECTS:</t>
  </si>
  <si>
    <t>Punktzahl im Eignungsverfahren:</t>
  </si>
  <si>
    <t>Hilfsspalte: ECTS*Note</t>
  </si>
  <si>
    <t>Sortierung nach Noten</t>
  </si>
  <si>
    <t>Noten sortierbar machen (H+gleiche Werte minimal ungleich machen)</t>
  </si>
  <si>
    <t>Berechnung Durchschnitts-note</t>
  </si>
  <si>
    <t>ECTS gesamt</t>
  </si>
  <si>
    <t>Berechnung aus Anzahl Credits?</t>
  </si>
  <si>
    <t>entsprechende ECTS zu K</t>
  </si>
  <si>
    <t>entsprechende ECTS (G)</t>
  </si>
  <si>
    <t>genau 120 ECTS vorhanden?</t>
  </si>
  <si>
    <t>Studiengang</t>
  </si>
  <si>
    <t>Durchschnittsnote aus 120 ECTS:</t>
  </si>
  <si>
    <r>
      <rPr>
        <sz val="8"/>
        <color theme="1"/>
        <rFont val="Arial"/>
        <family val="2"/>
      </rPr>
      <t xml:space="preserve">Im Eignungsverfahren wird eine </t>
    </r>
    <r>
      <rPr>
        <b/>
        <sz val="8"/>
        <color theme="1"/>
        <rFont val="Arial"/>
        <family val="2"/>
      </rPr>
      <t>Durchschnittsnote</t>
    </r>
    <r>
      <rPr>
        <sz val="8"/>
        <color theme="1"/>
        <rFont val="Arial"/>
        <family val="2"/>
      </rPr>
      <t xml:space="preserve"> berücksichtigt, die sich </t>
    </r>
    <r>
      <rPr>
        <b/>
        <sz val="8"/>
        <color theme="1"/>
        <rFont val="Arial"/>
        <family val="2"/>
      </rPr>
      <t>aus den am besten benoteten Modulen im Umfang von insgesamt 120 ECTS</t>
    </r>
    <r>
      <rPr>
        <sz val="8"/>
        <color theme="1"/>
        <rFont val="Arial"/>
        <family val="2"/>
      </rPr>
      <t xml:space="preserve"> zusammensetzt (FPSO, Anlage 2, 2. &amp; 5.1.1.b). Dieser Notenschnitt ergibt sich aus dem nach den Credits der jeweiligen Module gewichtetem Notenmittel.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Bitte tragen Sie aus </t>
    </r>
    <r>
      <rPr>
        <b/>
        <u/>
        <sz val="10"/>
        <color theme="1"/>
        <rFont val="Arial"/>
        <family val="2"/>
      </rPr>
      <t>allen von Ihnen absolvierten Modulen</t>
    </r>
    <r>
      <rPr>
        <b/>
        <sz val="10"/>
        <color theme="1"/>
        <rFont val="Arial"/>
        <family val="2"/>
      </rPr>
      <t xml:space="preserve"> die </t>
    </r>
    <r>
      <rPr>
        <b/>
        <u/>
        <sz val="10"/>
        <color theme="1"/>
        <rFont val="Arial"/>
        <family val="2"/>
      </rPr>
      <t>am besten benoteten Module</t>
    </r>
    <r>
      <rPr>
        <b/>
        <sz val="10"/>
        <color theme="1"/>
        <rFont val="Arial"/>
        <family val="2"/>
      </rPr>
      <t xml:space="preserve"> im Umfang von </t>
    </r>
    <r>
      <rPr>
        <b/>
        <u/>
        <sz val="10"/>
        <color theme="1"/>
        <rFont val="Arial"/>
        <family val="2"/>
      </rPr>
      <t xml:space="preserve">mindestens 120 ECTS-Credits </t>
    </r>
    <r>
      <rPr>
        <b/>
        <sz val="10"/>
        <color theme="1"/>
        <rFont val="Arial"/>
        <family val="2"/>
      </rPr>
      <t>in die folgende Tabelle ein</t>
    </r>
    <r>
      <rPr>
        <sz val="10"/>
        <color theme="1"/>
        <rFont val="Arial"/>
        <family val="2"/>
      </rPr>
      <t xml:space="preserve">. Übernehmen Sie Ihre Angaben aus Ihrem/n Transcript(s) of Records und achten Sie unbedingt auf Vollständigkeit und Korrektheit.
Geben Sie immer </t>
    </r>
    <r>
      <rPr>
        <b/>
        <sz val="10"/>
        <color theme="1"/>
        <rFont val="Arial"/>
        <family val="2"/>
      </rPr>
      <t>Noten von ganzen Modulen</t>
    </r>
    <r>
      <rPr>
        <sz val="10"/>
        <color theme="1"/>
        <rFont val="Arial"/>
        <family val="2"/>
      </rPr>
      <t xml:space="preserve"> ein, </t>
    </r>
    <r>
      <rPr>
        <u/>
        <sz val="10"/>
        <color theme="1"/>
        <rFont val="Arial"/>
        <family val="2"/>
      </rPr>
      <t>keine Teilnoten oder Noten für einzelne Lehrveranstaltungen</t>
    </r>
    <r>
      <rPr>
        <sz val="10"/>
        <color theme="1"/>
        <rFont val="Arial"/>
        <family val="2"/>
      </rPr>
      <t xml:space="preserve">!
</t>
    </r>
    <r>
      <rPr>
        <sz val="8"/>
        <color theme="1"/>
        <rFont val="Arial"/>
        <family val="2"/>
      </rPr>
      <t xml:space="preserve">Sollten Sie </t>
    </r>
    <r>
      <rPr>
        <b/>
        <sz val="8"/>
        <color theme="1"/>
        <rFont val="Arial"/>
        <family val="2"/>
      </rPr>
      <t>nicht nach ECTS studiert</t>
    </r>
    <r>
      <rPr>
        <sz val="8"/>
        <color theme="1"/>
        <rFont val="Arial"/>
        <family val="2"/>
      </rPr>
      <t xml:space="preserve"> haben oder </t>
    </r>
    <r>
      <rPr>
        <b/>
        <sz val="8"/>
        <color theme="1"/>
        <rFont val="Arial"/>
        <family val="2"/>
      </rPr>
      <t>Noten nach ausländischen Notenskalen</t>
    </r>
    <r>
      <rPr>
        <sz val="8"/>
        <color theme="1"/>
        <rFont val="Arial"/>
        <family val="2"/>
      </rPr>
      <t xml:space="preserve"> erhalten haben, konsultieren Sie bitte vor dem Ausfüllen des Formulars die Studienberatung: https://www.edu.tum.de/studium/ansprechpartner/studienberatung/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</si>
</sst>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u/>
      <sz val="10"/>
      <color theme="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color theme="0" tint="-0.49998474074526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3" borderId="1" xfId="0" applyFont="1" applyFill="1" applyBorder="1"/>
    <xf numFmtId="0" fontId="4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5" fillId="2" borderId="1" xfId="0" quotePrefix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13" fillId="0" borderId="0" xfId="0" applyFont="1" applyAlignment="1">
      <alignment wrapText="1"/>
    </xf>
    <xf numFmtId="165" fontId="13" fillId="0" borderId="0" xfId="0" applyNumberFormat="1" applyFont="1"/>
    <xf numFmtId="164" fontId="13" fillId="0" borderId="0" xfId="0" applyNumberFormat="1" applyFont="1"/>
    <xf numFmtId="0" fontId="13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1" fontId="15" fillId="2" borderId="17" xfId="0" applyNumberFormat="1" applyFont="1" applyFill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2" fontId="5" fillId="0" borderId="14" xfId="0" applyNumberFormat="1" applyFont="1" applyBorder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6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wrapText="1"/>
    </xf>
    <xf numFmtId="2" fontId="17" fillId="0" borderId="0" xfId="0" applyNumberFormat="1" applyFont="1"/>
    <xf numFmtId="0" fontId="13" fillId="0" borderId="18" xfId="0" applyFont="1" applyBorder="1" applyAlignment="1">
      <alignment wrapText="1"/>
    </xf>
    <xf numFmtId="2" fontId="13" fillId="0" borderId="18" xfId="0" applyNumberFormat="1" applyFont="1" applyBorder="1"/>
    <xf numFmtId="164" fontId="13" fillId="0" borderId="18" xfId="0" applyNumberFormat="1" applyFont="1" applyBorder="1"/>
    <xf numFmtId="0" fontId="13" fillId="0" borderId="20" xfId="0" applyFont="1" applyBorder="1" applyAlignment="1">
      <alignment wrapText="1"/>
    </xf>
    <xf numFmtId="0" fontId="13" fillId="0" borderId="19" xfId="0" applyFont="1" applyBorder="1"/>
    <xf numFmtId="0" fontId="17" fillId="0" borderId="23" xfId="0" applyFont="1" applyBorder="1" applyAlignment="1">
      <alignment horizontal="center"/>
    </xf>
    <xf numFmtId="0" fontId="13" fillId="0" borderId="22" xfId="0" applyFont="1" applyBorder="1"/>
    <xf numFmtId="2" fontId="5" fillId="0" borderId="17" xfId="0" applyNumberFormat="1" applyFont="1" applyBorder="1" applyAlignment="1" applyProtection="1">
      <alignment horizontal="right" vertical="top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6" xfId="0" applyFont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17" fillId="0" borderId="21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</cellXfs>
  <cellStyles count="1">
    <cellStyle name="Stand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P44"/>
  <sheetViews>
    <sheetView showGridLines="0" tabSelected="1" showRuler="0" view="pageLayout" topLeftCell="A7" zoomScale="120" zoomScaleNormal="100" zoomScaleSheetLayoutView="100" zoomScalePageLayoutView="120" workbookViewId="0">
      <selection activeCell="A16" sqref="A16"/>
    </sheetView>
  </sheetViews>
  <sheetFormatPr baseColWidth="10" defaultColWidth="11.44140625" defaultRowHeight="13.8" x14ac:dyDescent="0.25"/>
  <cols>
    <col min="1" max="1" width="11.6640625" style="1" customWidth="1"/>
    <col min="2" max="2" width="14.5546875" style="1" customWidth="1"/>
    <col min="3" max="3" width="7.6640625" style="1" customWidth="1"/>
    <col min="4" max="4" width="11.44140625" style="1"/>
    <col min="5" max="5" width="9.88671875" style="1" customWidth="1"/>
    <col min="6" max="6" width="26.33203125" style="1" customWidth="1"/>
    <col min="7" max="8" width="6.33203125" style="1" customWidth="1"/>
    <col min="9" max="9" width="18.33203125" style="1" hidden="1" customWidth="1"/>
    <col min="10" max="10" width="11.44140625" style="1" hidden="1" customWidth="1"/>
    <col min="11" max="11" width="8.6640625" style="1" hidden="1" customWidth="1"/>
    <col min="12" max="12" width="11.33203125" style="1" hidden="1" customWidth="1"/>
    <col min="13" max="13" width="9" style="1" hidden="1" customWidth="1"/>
    <col min="14" max="14" width="7.109375" style="1" hidden="1" customWidth="1"/>
    <col min="15" max="15" width="12.33203125" style="1" hidden="1" customWidth="1"/>
    <col min="16" max="16" width="12.5546875" style="1" hidden="1" customWidth="1"/>
    <col min="17" max="16384" width="11.44140625" style="1"/>
  </cols>
  <sheetData>
    <row r="1" spans="1:16" ht="15" customHeight="1" x14ac:dyDescent="0.25">
      <c r="A1" s="52" t="s">
        <v>13</v>
      </c>
      <c r="B1" s="53"/>
      <c r="C1" s="53"/>
      <c r="D1" s="53"/>
      <c r="E1" s="53"/>
      <c r="F1" s="53"/>
      <c r="G1" s="53"/>
      <c r="H1" s="53"/>
    </row>
    <row r="2" spans="1:16" ht="14.25" customHeight="1" x14ac:dyDescent="0.25">
      <c r="A2" s="53"/>
      <c r="B2" s="53"/>
      <c r="C2" s="53"/>
      <c r="D2" s="53"/>
      <c r="E2" s="53"/>
      <c r="F2" s="53"/>
      <c r="G2" s="53"/>
      <c r="H2" s="53"/>
    </row>
    <row r="3" spans="1:16" ht="5.25" customHeight="1" x14ac:dyDescent="0.25"/>
    <row r="4" spans="1:16" ht="15" customHeight="1" x14ac:dyDescent="0.25">
      <c r="A4" s="2" t="s">
        <v>1</v>
      </c>
      <c r="B4" s="54"/>
      <c r="C4" s="54"/>
      <c r="D4" s="54"/>
      <c r="E4" s="54"/>
      <c r="F4" s="54"/>
      <c r="G4" s="54"/>
      <c r="H4" s="54"/>
    </row>
    <row r="5" spans="1:16" ht="15" customHeight="1" x14ac:dyDescent="0.25">
      <c r="A5" s="2" t="s">
        <v>0</v>
      </c>
      <c r="B5" s="56"/>
      <c r="C5" s="55"/>
      <c r="D5" s="55"/>
      <c r="E5" s="55"/>
      <c r="F5" s="55"/>
      <c r="G5" s="55"/>
      <c r="H5" s="55"/>
    </row>
    <row r="6" spans="1:16" ht="5.25" customHeight="1" x14ac:dyDescent="0.25"/>
    <row r="7" spans="1:16" ht="15" customHeight="1" x14ac:dyDescent="0.25">
      <c r="A7" s="5" t="s">
        <v>2</v>
      </c>
      <c r="B7" s="57" t="s">
        <v>6</v>
      </c>
      <c r="C7" s="57"/>
      <c r="D7" s="57" t="s">
        <v>26</v>
      </c>
      <c r="E7" s="57"/>
      <c r="F7" s="57" t="s">
        <v>7</v>
      </c>
      <c r="G7" s="57"/>
      <c r="H7" s="57"/>
    </row>
    <row r="8" spans="1:16" x14ac:dyDescent="0.25">
      <c r="A8" s="6" t="s">
        <v>5</v>
      </c>
      <c r="B8" s="58"/>
      <c r="C8" s="58"/>
      <c r="D8" s="58"/>
      <c r="E8" s="58"/>
      <c r="F8" s="58"/>
      <c r="G8" s="58"/>
      <c r="H8" s="58"/>
    </row>
    <row r="9" spans="1:16" x14ac:dyDescent="0.25">
      <c r="A9" s="6" t="s">
        <v>4</v>
      </c>
      <c r="B9" s="58"/>
      <c r="C9" s="58"/>
      <c r="D9" s="58"/>
      <c r="E9" s="58"/>
      <c r="F9" s="58"/>
      <c r="G9" s="58"/>
      <c r="H9" s="58"/>
    </row>
    <row r="10" spans="1:16" x14ac:dyDescent="0.25">
      <c r="A10" s="6" t="s">
        <v>3</v>
      </c>
      <c r="B10" s="58"/>
      <c r="C10" s="58"/>
      <c r="D10" s="58"/>
      <c r="E10" s="58"/>
      <c r="F10" s="58"/>
      <c r="G10" s="58"/>
      <c r="H10" s="58"/>
    </row>
    <row r="11" spans="1:16" ht="5.25" customHeight="1" thickBot="1" x14ac:dyDescent="0.3"/>
    <row r="12" spans="1:16" ht="15" customHeight="1" x14ac:dyDescent="0.25">
      <c r="A12" s="61" t="s">
        <v>8</v>
      </c>
      <c r="B12" s="62"/>
      <c r="C12" s="62"/>
      <c r="D12" s="62"/>
      <c r="E12" s="62"/>
      <c r="F12" s="62"/>
      <c r="G12" s="62"/>
      <c r="H12" s="63"/>
    </row>
    <row r="13" spans="1:16" ht="133.5" customHeight="1" thickBot="1" x14ac:dyDescent="0.3">
      <c r="A13" s="64" t="s">
        <v>28</v>
      </c>
      <c r="B13" s="65"/>
      <c r="C13" s="65"/>
      <c r="D13" s="65"/>
      <c r="E13" s="65"/>
      <c r="F13" s="65"/>
      <c r="G13" s="65"/>
      <c r="H13" s="66"/>
    </row>
    <row r="14" spans="1:16" ht="5.25" customHeight="1" thickBot="1" x14ac:dyDescent="0.3"/>
    <row r="15" spans="1:16" ht="31.2" x14ac:dyDescent="0.25">
      <c r="A15" s="3" t="s">
        <v>14</v>
      </c>
      <c r="B15" s="16" t="s">
        <v>9</v>
      </c>
      <c r="C15" s="51" t="s">
        <v>10</v>
      </c>
      <c r="D15" s="51"/>
      <c r="E15" s="51"/>
      <c r="F15" s="51"/>
      <c r="G15" s="16" t="s">
        <v>11</v>
      </c>
      <c r="H15" s="4" t="s">
        <v>12</v>
      </c>
      <c r="I15" s="9" t="s">
        <v>19</v>
      </c>
      <c r="J15" s="9" t="s">
        <v>24</v>
      </c>
      <c r="K15" s="26" t="s">
        <v>18</v>
      </c>
      <c r="L15" s="12" t="s">
        <v>23</v>
      </c>
      <c r="M15" s="24" t="s">
        <v>17</v>
      </c>
      <c r="N15" s="26" t="s">
        <v>21</v>
      </c>
      <c r="O15" s="13" t="s">
        <v>20</v>
      </c>
      <c r="P15" s="29" t="s">
        <v>22</v>
      </c>
    </row>
    <row r="16" spans="1:16" x14ac:dyDescent="0.25">
      <c r="A16" s="17"/>
      <c r="B16" s="22"/>
      <c r="C16" s="34"/>
      <c r="D16" s="34"/>
      <c r="E16" s="34"/>
      <c r="F16" s="34"/>
      <c r="G16" s="18"/>
      <c r="H16" s="19"/>
      <c r="I16" s="10" t="str">
        <f t="shared" ref="I16:I40" si="0">IF(H16="","",H16+(ROW(H16)/100000000000000))</f>
        <v/>
      </c>
      <c r="J16" s="11" t="str">
        <f>IF(H16="","",G16)</f>
        <v/>
      </c>
      <c r="K16" s="27" t="str">
        <f>IFERROR(SMALL($I$16:$I$40,1),"")</f>
        <v/>
      </c>
      <c r="L16" s="11" t="str">
        <f>IFERROR(INDEX($J$16:$J$40,MATCH(K16,$I$16:$I$40,0)),"")</f>
        <v/>
      </c>
      <c r="M16" s="25" t="str">
        <f>IFERROR(K16*L16,"")</f>
        <v/>
      </c>
      <c r="N16" s="28">
        <f>SUM($L$16)</f>
        <v>0</v>
      </c>
      <c r="O16" s="14" t="str">
        <f>IFERROR(IF(AND(SUM($L$16)&gt;115,SUM($L$16:$L$40)&gt;=120),SUM($M$16)/SUM($L$16),"&lt;120 ECTS"),"FEHLER")</f>
        <v>&lt;120 ECTS</v>
      </c>
      <c r="P16" s="30" t="e">
        <f>IF(P19="ja",120,INDEX(N16:O40,MATCH(MIN(O16:O40),O16:O40,0),1))</f>
        <v>#N/A</v>
      </c>
    </row>
    <row r="17" spans="1:16" x14ac:dyDescent="0.25">
      <c r="A17" s="17"/>
      <c r="B17" s="22"/>
      <c r="C17" s="34"/>
      <c r="D17" s="34"/>
      <c r="E17" s="34"/>
      <c r="F17" s="34"/>
      <c r="G17" s="18"/>
      <c r="H17" s="19"/>
      <c r="I17" s="10" t="str">
        <f t="shared" si="0"/>
        <v/>
      </c>
      <c r="J17" s="11" t="str">
        <f t="shared" ref="J17:J40" si="1">IF(H17="","",G17)</f>
        <v/>
      </c>
      <c r="K17" s="27" t="str">
        <f>IFERROR(SMALL($I$16:$I$40,2),"")</f>
        <v/>
      </c>
      <c r="L17" s="11" t="str">
        <f t="shared" ref="L17:L40" si="2">IFERROR(INDEX($J$16:$J$40,MATCH(K17,$I$16:$I$40,0)),"")</f>
        <v/>
      </c>
      <c r="M17" s="25" t="str">
        <f t="shared" ref="M17:M40" si="3">IFERROR(K17*L17,"")</f>
        <v/>
      </c>
      <c r="N17" s="28">
        <f>SUM($L$16:L17)</f>
        <v>0</v>
      </c>
      <c r="O17" s="14" t="str">
        <f>IFERROR(IF(AND(SUM($L$16:L17)&gt;115,SUM($L$16:$L$40)&gt;=120),SUM($M$16:M17)/SUM($L$16:L17),"&lt;120 ECTS"),"FEHLER")</f>
        <v>&lt;120 ECTS</v>
      </c>
      <c r="P17" s="59" t="s">
        <v>25</v>
      </c>
    </row>
    <row r="18" spans="1:16" x14ac:dyDescent="0.25">
      <c r="A18" s="17"/>
      <c r="B18" s="22"/>
      <c r="C18" s="34"/>
      <c r="D18" s="34"/>
      <c r="E18" s="34"/>
      <c r="F18" s="34"/>
      <c r="G18" s="18"/>
      <c r="H18" s="19"/>
      <c r="I18" s="10" t="str">
        <f t="shared" si="0"/>
        <v/>
      </c>
      <c r="J18" s="11" t="str">
        <f t="shared" si="1"/>
        <v/>
      </c>
      <c r="K18" s="27" t="str">
        <f>IFERROR(SMALL($I$16:$I$40,3),"")</f>
        <v/>
      </c>
      <c r="L18" s="11" t="str">
        <f t="shared" si="2"/>
        <v/>
      </c>
      <c r="M18" s="25" t="str">
        <f t="shared" si="3"/>
        <v/>
      </c>
      <c r="N18" s="28">
        <f>SUM($L$16:L18)</f>
        <v>0</v>
      </c>
      <c r="O18" s="14" t="str">
        <f>IFERROR(IF(AND(SUM($L$16:L18)&gt;115,SUM($L$16:$L$40)&gt;=120),SUM($M$16:M18)/SUM($L$16:L18),"&lt;120 ECTS"),"FEHLER")</f>
        <v>&lt;120 ECTS</v>
      </c>
      <c r="P18" s="60"/>
    </row>
    <row r="19" spans="1:16" x14ac:dyDescent="0.25">
      <c r="A19" s="17"/>
      <c r="B19" s="22"/>
      <c r="C19" s="34"/>
      <c r="D19" s="34"/>
      <c r="E19" s="34"/>
      <c r="F19" s="34"/>
      <c r="G19" s="18"/>
      <c r="H19" s="19"/>
      <c r="I19" s="10" t="str">
        <f t="shared" si="0"/>
        <v/>
      </c>
      <c r="J19" s="11" t="str">
        <f t="shared" si="1"/>
        <v/>
      </c>
      <c r="K19" s="27" t="str">
        <f>IFERROR(SMALL($I$16:$I$40,4),"")</f>
        <v/>
      </c>
      <c r="L19" s="11" t="str">
        <f t="shared" si="2"/>
        <v/>
      </c>
      <c r="M19" s="25" t="str">
        <f t="shared" si="3"/>
        <v/>
      </c>
      <c r="N19" s="28">
        <f>SUM($L$16:L19)</f>
        <v>0</v>
      </c>
      <c r="O19" s="14" t="str">
        <f>IFERROR(IF(AND(SUM($L$16:L19)&gt;115,SUM($L$16:$L$40)&gt;=120),SUM($M$16:M19)/SUM($L$16:L19),"&lt;120 ECTS"),"FEHLER")</f>
        <v>&lt;120 ECTS</v>
      </c>
      <c r="P19" s="31" t="str">
        <f>IF(ISERROR(MATCH(120,N16:N40,0)),"nein","ja")</f>
        <v>nein</v>
      </c>
    </row>
    <row r="20" spans="1:16" x14ac:dyDescent="0.25">
      <c r="A20" s="17"/>
      <c r="B20" s="22"/>
      <c r="C20" s="34"/>
      <c r="D20" s="34"/>
      <c r="E20" s="34"/>
      <c r="F20" s="34"/>
      <c r="G20" s="18"/>
      <c r="H20" s="19"/>
      <c r="I20" s="10" t="str">
        <f t="shared" si="0"/>
        <v/>
      </c>
      <c r="J20" s="11" t="str">
        <f t="shared" si="1"/>
        <v/>
      </c>
      <c r="K20" s="27" t="str">
        <f>IFERROR(SMALL($I$16:$I$40,5),"")</f>
        <v/>
      </c>
      <c r="L20" s="11" t="str">
        <f t="shared" si="2"/>
        <v/>
      </c>
      <c r="M20" s="25" t="str">
        <f t="shared" si="3"/>
        <v/>
      </c>
      <c r="N20" s="28">
        <f>SUM($L$16:L20)</f>
        <v>0</v>
      </c>
      <c r="O20" s="14" t="str">
        <f>IFERROR(IF(AND(SUM($L$16:L20)&gt;115,SUM($L$16:$L$40)&gt;=120),SUM($M$16:M20)/SUM($L$16:L20),"&lt;120 ECTS"),"FEHLER")</f>
        <v>&lt;120 ECTS</v>
      </c>
      <c r="P20" s="32"/>
    </row>
    <row r="21" spans="1:16" x14ac:dyDescent="0.25">
      <c r="A21" s="17"/>
      <c r="B21" s="22"/>
      <c r="C21" s="34"/>
      <c r="D21" s="34"/>
      <c r="E21" s="34"/>
      <c r="F21" s="34"/>
      <c r="G21" s="18"/>
      <c r="H21" s="19"/>
      <c r="I21" s="10" t="str">
        <f t="shared" si="0"/>
        <v/>
      </c>
      <c r="J21" s="11" t="str">
        <f t="shared" si="1"/>
        <v/>
      </c>
      <c r="K21" s="27" t="str">
        <f>IFERROR(SMALL($I$16:$I$40,6),"")</f>
        <v/>
      </c>
      <c r="L21" s="11" t="str">
        <f t="shared" si="2"/>
        <v/>
      </c>
      <c r="M21" s="25" t="str">
        <f t="shared" si="3"/>
        <v/>
      </c>
      <c r="N21" s="28">
        <f>SUM($L$16:L21)</f>
        <v>0</v>
      </c>
      <c r="O21" s="14" t="str">
        <f>IFERROR(IF(AND(SUM($L$16:L21)&gt;115,SUM($L$16:$L$40)&gt;=120),SUM($M$16:M21)/SUM($L$16:L21),"&lt;120 ECTS"),"FEHLER")</f>
        <v>&lt;120 ECTS</v>
      </c>
      <c r="P21" s="32"/>
    </row>
    <row r="22" spans="1:16" x14ac:dyDescent="0.25">
      <c r="A22" s="17"/>
      <c r="B22" s="22"/>
      <c r="C22" s="34"/>
      <c r="D22" s="34"/>
      <c r="E22" s="34"/>
      <c r="F22" s="34"/>
      <c r="G22" s="18"/>
      <c r="H22" s="19"/>
      <c r="I22" s="10" t="str">
        <f t="shared" si="0"/>
        <v/>
      </c>
      <c r="J22" s="11" t="str">
        <f t="shared" si="1"/>
        <v/>
      </c>
      <c r="K22" s="27" t="str">
        <f>IFERROR(SMALL($I$16:$I$40,7),"")</f>
        <v/>
      </c>
      <c r="L22" s="11" t="str">
        <f t="shared" si="2"/>
        <v/>
      </c>
      <c r="M22" s="25" t="str">
        <f t="shared" si="3"/>
        <v/>
      </c>
      <c r="N22" s="28">
        <f>SUM($L$16:L22)</f>
        <v>0</v>
      </c>
      <c r="O22" s="14" t="str">
        <f>IFERROR(IF(AND(SUM($L$16:L22)&gt;115,SUM($L$16:$L$40)&gt;=120),SUM($M$16:M22)/SUM($L$16:L22),"&lt;120 ECTS"),"FEHLER")</f>
        <v>&lt;120 ECTS</v>
      </c>
      <c r="P22" s="32"/>
    </row>
    <row r="23" spans="1:16" x14ac:dyDescent="0.25">
      <c r="A23" s="17"/>
      <c r="B23" s="22"/>
      <c r="C23" s="34"/>
      <c r="D23" s="34"/>
      <c r="E23" s="34"/>
      <c r="F23" s="34"/>
      <c r="G23" s="18"/>
      <c r="H23" s="19"/>
      <c r="I23" s="10" t="str">
        <f t="shared" si="0"/>
        <v/>
      </c>
      <c r="J23" s="11" t="str">
        <f t="shared" si="1"/>
        <v/>
      </c>
      <c r="K23" s="27" t="str">
        <f>IFERROR(SMALL($I$16:$I$40,8),"")</f>
        <v/>
      </c>
      <c r="L23" s="11" t="str">
        <f t="shared" si="2"/>
        <v/>
      </c>
      <c r="M23" s="25" t="str">
        <f t="shared" si="3"/>
        <v/>
      </c>
      <c r="N23" s="28">
        <f>SUM($L$16:L23)</f>
        <v>0</v>
      </c>
      <c r="O23" s="14" t="str">
        <f>IFERROR(IF(AND(SUM($L$16:L23)&gt;115,SUM($L$16:$L$40)&gt;=120),SUM($M$16:M23)/SUM($L$16:L23),"&lt;120 ECTS"),"FEHLER")</f>
        <v>&lt;120 ECTS</v>
      </c>
      <c r="P23" s="32"/>
    </row>
    <row r="24" spans="1:16" x14ac:dyDescent="0.25">
      <c r="A24" s="17"/>
      <c r="B24" s="22"/>
      <c r="C24" s="34"/>
      <c r="D24" s="34"/>
      <c r="E24" s="34"/>
      <c r="F24" s="34"/>
      <c r="G24" s="18"/>
      <c r="H24" s="19"/>
      <c r="I24" s="10" t="str">
        <f t="shared" si="0"/>
        <v/>
      </c>
      <c r="J24" s="11" t="str">
        <f t="shared" si="1"/>
        <v/>
      </c>
      <c r="K24" s="27" t="str">
        <f>IFERROR(SMALL($I$16:$I$40,9),"")</f>
        <v/>
      </c>
      <c r="L24" s="11" t="str">
        <f t="shared" si="2"/>
        <v/>
      </c>
      <c r="M24" s="25" t="str">
        <f t="shared" si="3"/>
        <v/>
      </c>
      <c r="N24" s="28">
        <f>SUM($L$16:L24)</f>
        <v>0</v>
      </c>
      <c r="O24" s="14" t="str">
        <f>IFERROR(IF(AND(SUM($L$16:L24)&gt;115,SUM($L$16:$L$40)&gt;=120),SUM($M$16:M24)/SUM($L$16:L24),"&lt;120 ECTS"),"FEHLER")</f>
        <v>&lt;120 ECTS</v>
      </c>
      <c r="P24" s="32"/>
    </row>
    <row r="25" spans="1:16" x14ac:dyDescent="0.25">
      <c r="A25" s="17"/>
      <c r="B25" s="22"/>
      <c r="C25" s="34"/>
      <c r="D25" s="34"/>
      <c r="E25" s="34"/>
      <c r="F25" s="34"/>
      <c r="G25" s="18"/>
      <c r="H25" s="19"/>
      <c r="I25" s="10" t="str">
        <f t="shared" si="0"/>
        <v/>
      </c>
      <c r="J25" s="11" t="str">
        <f t="shared" si="1"/>
        <v/>
      </c>
      <c r="K25" s="27" t="str">
        <f>IFERROR(SMALL($I$16:$I$40,10),"")</f>
        <v/>
      </c>
      <c r="L25" s="11" t="str">
        <f t="shared" si="2"/>
        <v/>
      </c>
      <c r="M25" s="25" t="str">
        <f t="shared" si="3"/>
        <v/>
      </c>
      <c r="N25" s="28">
        <f>SUM($L$16:L25)</f>
        <v>0</v>
      </c>
      <c r="O25" s="14" t="str">
        <f>IFERROR(IF(AND(SUM($L$16:L25)&gt;115,SUM($L$16:$L$40)&gt;=120),SUM($M$16:M25)/SUM($L$16:L25),"&lt;120 ECTS"),"FEHLER")</f>
        <v>&lt;120 ECTS</v>
      </c>
      <c r="P25" s="32"/>
    </row>
    <row r="26" spans="1:16" x14ac:dyDescent="0.25">
      <c r="A26" s="17"/>
      <c r="B26" s="22"/>
      <c r="C26" s="34"/>
      <c r="D26" s="34"/>
      <c r="E26" s="34"/>
      <c r="F26" s="34"/>
      <c r="G26" s="18"/>
      <c r="H26" s="19"/>
      <c r="I26" s="10" t="str">
        <f t="shared" si="0"/>
        <v/>
      </c>
      <c r="J26" s="11" t="str">
        <f t="shared" si="1"/>
        <v/>
      </c>
      <c r="K26" s="27" t="str">
        <f>IFERROR(SMALL($I$16:$I$40,11),"")</f>
        <v/>
      </c>
      <c r="L26" s="11" t="str">
        <f t="shared" si="2"/>
        <v/>
      </c>
      <c r="M26" s="25" t="str">
        <f t="shared" si="3"/>
        <v/>
      </c>
      <c r="N26" s="28">
        <f>SUM($L$16:L26)</f>
        <v>0</v>
      </c>
      <c r="O26" s="14" t="str">
        <f>IFERROR(IF(AND(SUM($L$16:L26)&gt;115,SUM($L$16:$L$40)&gt;=120),SUM($M$16:M26)/SUM($L$16:L26),"&lt;120 ECTS"),"FEHLER")</f>
        <v>&lt;120 ECTS</v>
      </c>
      <c r="P26" s="32"/>
    </row>
    <row r="27" spans="1:16" x14ac:dyDescent="0.25">
      <c r="A27" s="17"/>
      <c r="B27" s="22"/>
      <c r="C27" s="34"/>
      <c r="D27" s="34"/>
      <c r="E27" s="34"/>
      <c r="F27" s="34"/>
      <c r="G27" s="18"/>
      <c r="H27" s="19"/>
      <c r="I27" s="10" t="str">
        <f t="shared" si="0"/>
        <v/>
      </c>
      <c r="J27" s="11" t="str">
        <f t="shared" si="1"/>
        <v/>
      </c>
      <c r="K27" s="27" t="str">
        <f>IFERROR(SMALL($I$16:$I$40,12),"")</f>
        <v/>
      </c>
      <c r="L27" s="11" t="str">
        <f t="shared" si="2"/>
        <v/>
      </c>
      <c r="M27" s="25" t="str">
        <f t="shared" si="3"/>
        <v/>
      </c>
      <c r="N27" s="28">
        <f>SUM($L$16:L27)</f>
        <v>0</v>
      </c>
      <c r="O27" s="14" t="str">
        <f>IFERROR(IF(AND(SUM($L$16:L27)&gt;115,SUM($L$16:$L$40)&gt;=120),SUM($M$16:M27)/SUM($L$16:L27),"&lt;120 ECTS"),"FEHLER")</f>
        <v>&lt;120 ECTS</v>
      </c>
      <c r="P27" s="32"/>
    </row>
    <row r="28" spans="1:16" x14ac:dyDescent="0.25">
      <c r="A28" s="17"/>
      <c r="B28" s="22"/>
      <c r="C28" s="34"/>
      <c r="D28" s="34"/>
      <c r="E28" s="34"/>
      <c r="F28" s="34"/>
      <c r="G28" s="18"/>
      <c r="H28" s="19"/>
      <c r="I28" s="10" t="str">
        <f t="shared" si="0"/>
        <v/>
      </c>
      <c r="J28" s="11" t="str">
        <f t="shared" si="1"/>
        <v/>
      </c>
      <c r="K28" s="27" t="str">
        <f>IFERROR(SMALL($I$16:$I$40,13),"")</f>
        <v/>
      </c>
      <c r="L28" s="11" t="str">
        <f t="shared" si="2"/>
        <v/>
      </c>
      <c r="M28" s="25" t="str">
        <f t="shared" si="3"/>
        <v/>
      </c>
      <c r="N28" s="28">
        <f>SUM($L$16:L28)</f>
        <v>0</v>
      </c>
      <c r="O28" s="14" t="str">
        <f>IFERROR(IF(AND(SUM($L$16:L28)&gt;115,SUM($L$16:$L$40)&gt;=120),SUM($M$16:M28)/SUM($L$16:L28),"&lt;120 ECTS"),"FEHLER")</f>
        <v>&lt;120 ECTS</v>
      </c>
      <c r="P28" s="32"/>
    </row>
    <row r="29" spans="1:16" x14ac:dyDescent="0.25">
      <c r="A29" s="17"/>
      <c r="B29" s="22"/>
      <c r="C29" s="34"/>
      <c r="D29" s="34"/>
      <c r="E29" s="34"/>
      <c r="F29" s="34"/>
      <c r="G29" s="18"/>
      <c r="H29" s="19"/>
      <c r="I29" s="10" t="str">
        <f t="shared" si="0"/>
        <v/>
      </c>
      <c r="J29" s="11" t="str">
        <f t="shared" si="1"/>
        <v/>
      </c>
      <c r="K29" s="27" t="str">
        <f>IFERROR(SMALL($I$16:$I$40,14),"")</f>
        <v/>
      </c>
      <c r="L29" s="11" t="str">
        <f t="shared" si="2"/>
        <v/>
      </c>
      <c r="M29" s="25" t="str">
        <f t="shared" si="3"/>
        <v/>
      </c>
      <c r="N29" s="28">
        <f>SUM($L$16:L29)</f>
        <v>0</v>
      </c>
      <c r="O29" s="14" t="str">
        <f>IFERROR(IF(AND(SUM($L$16:L29)&gt;115,SUM($L$16:$L$40)&gt;=120),SUM($M$16:M29)/SUM($L$16:L29),"&lt;120 ECTS"),"FEHLER")</f>
        <v>&lt;120 ECTS</v>
      </c>
      <c r="P29" s="32"/>
    </row>
    <row r="30" spans="1:16" x14ac:dyDescent="0.25">
      <c r="A30" s="17"/>
      <c r="B30" s="22"/>
      <c r="C30" s="34"/>
      <c r="D30" s="34"/>
      <c r="E30" s="34"/>
      <c r="F30" s="34"/>
      <c r="G30" s="18"/>
      <c r="H30" s="19"/>
      <c r="I30" s="10" t="str">
        <f t="shared" si="0"/>
        <v/>
      </c>
      <c r="J30" s="11" t="str">
        <f t="shared" si="1"/>
        <v/>
      </c>
      <c r="K30" s="27" t="str">
        <f>IFERROR(SMALL($I$16:$I$40,15),"")</f>
        <v/>
      </c>
      <c r="L30" s="11" t="str">
        <f t="shared" si="2"/>
        <v/>
      </c>
      <c r="M30" s="25" t="str">
        <f t="shared" si="3"/>
        <v/>
      </c>
      <c r="N30" s="28">
        <f>SUM($L$16:L30)</f>
        <v>0</v>
      </c>
      <c r="O30" s="14" t="str">
        <f>IFERROR(IF(AND(SUM($L$16:L30)&gt;115,SUM($L$16:$L$40)&gt;=120),SUM($M$16:M30)/SUM($L$16:L30),"&lt;120 ECTS"),"FEHLER")</f>
        <v>&lt;120 ECTS</v>
      </c>
      <c r="P30" s="32"/>
    </row>
    <row r="31" spans="1:16" x14ac:dyDescent="0.25">
      <c r="A31" s="17"/>
      <c r="B31" s="22"/>
      <c r="C31" s="34"/>
      <c r="D31" s="34"/>
      <c r="E31" s="34"/>
      <c r="F31" s="34"/>
      <c r="G31" s="18"/>
      <c r="H31" s="19"/>
      <c r="I31" s="10" t="str">
        <f t="shared" si="0"/>
        <v/>
      </c>
      <c r="J31" s="11" t="str">
        <f t="shared" si="1"/>
        <v/>
      </c>
      <c r="K31" s="27" t="str">
        <f>IFERROR(SMALL($I$16:$I$40,16),"")</f>
        <v/>
      </c>
      <c r="L31" s="11" t="str">
        <f t="shared" si="2"/>
        <v/>
      </c>
      <c r="M31" s="25" t="str">
        <f t="shared" si="3"/>
        <v/>
      </c>
      <c r="N31" s="28">
        <f>SUM($L$16:L31)</f>
        <v>0</v>
      </c>
      <c r="O31" s="14" t="str">
        <f>IFERROR(IF(AND(SUM($L$16:L31)&gt;115,SUM($L$16:$L$40)&gt;=120),SUM($M$16:M31)/SUM($L$16:L31),"&lt;120 ECTS"),"FEHLER")</f>
        <v>&lt;120 ECTS</v>
      </c>
      <c r="P31" s="32"/>
    </row>
    <row r="32" spans="1:16" x14ac:dyDescent="0.25">
      <c r="A32" s="17"/>
      <c r="B32" s="22"/>
      <c r="C32" s="34"/>
      <c r="D32" s="34"/>
      <c r="E32" s="34"/>
      <c r="F32" s="34"/>
      <c r="G32" s="18"/>
      <c r="H32" s="19"/>
      <c r="I32" s="10" t="str">
        <f t="shared" si="0"/>
        <v/>
      </c>
      <c r="J32" s="11" t="str">
        <f t="shared" si="1"/>
        <v/>
      </c>
      <c r="K32" s="27" t="str">
        <f>IFERROR(SMALL($I$16:$I$40,17),"")</f>
        <v/>
      </c>
      <c r="L32" s="11" t="str">
        <f t="shared" si="2"/>
        <v/>
      </c>
      <c r="M32" s="25" t="str">
        <f t="shared" si="3"/>
        <v/>
      </c>
      <c r="N32" s="28">
        <f>SUM($L$16:L32)</f>
        <v>0</v>
      </c>
      <c r="O32" s="14" t="str">
        <f>IFERROR(IF(AND(SUM($L$16:L32)&gt;115,SUM($L$16:$L$40)&gt;=120),SUM($M$16:M32)/SUM($L$16:L32),"&lt;120 ECTS"),"FEHLER")</f>
        <v>&lt;120 ECTS</v>
      </c>
      <c r="P32" s="32"/>
    </row>
    <row r="33" spans="1:16" x14ac:dyDescent="0.25">
      <c r="A33" s="17"/>
      <c r="B33" s="22"/>
      <c r="C33" s="34"/>
      <c r="D33" s="34"/>
      <c r="E33" s="34"/>
      <c r="F33" s="34"/>
      <c r="G33" s="18"/>
      <c r="H33" s="19"/>
      <c r="I33" s="10" t="str">
        <f t="shared" si="0"/>
        <v/>
      </c>
      <c r="J33" s="11" t="str">
        <f t="shared" si="1"/>
        <v/>
      </c>
      <c r="K33" s="27" t="str">
        <f>IFERROR(SMALL($I$16:$I$40,18),"")</f>
        <v/>
      </c>
      <c r="L33" s="11" t="str">
        <f t="shared" si="2"/>
        <v/>
      </c>
      <c r="M33" s="25" t="str">
        <f t="shared" si="3"/>
        <v/>
      </c>
      <c r="N33" s="28">
        <f>SUM($L$16:L33)</f>
        <v>0</v>
      </c>
      <c r="O33" s="14" t="str">
        <f>IFERROR(IF(AND(SUM($L$16:L33)&gt;115,SUM($L$16:$L$40)&gt;=120),SUM($M$16:M33)/SUM($L$16:L33),"&lt;120 ECTS"),"FEHLER")</f>
        <v>&lt;120 ECTS</v>
      </c>
      <c r="P33" s="32"/>
    </row>
    <row r="34" spans="1:16" x14ac:dyDescent="0.25">
      <c r="A34" s="17"/>
      <c r="B34" s="22"/>
      <c r="C34" s="34"/>
      <c r="D34" s="34"/>
      <c r="E34" s="34"/>
      <c r="F34" s="34"/>
      <c r="G34" s="18"/>
      <c r="H34" s="19"/>
      <c r="I34" s="10" t="str">
        <f t="shared" si="0"/>
        <v/>
      </c>
      <c r="J34" s="11" t="str">
        <f t="shared" si="1"/>
        <v/>
      </c>
      <c r="K34" s="27" t="str">
        <f>IFERROR(SMALL($I$16:$I$40,19),"")</f>
        <v/>
      </c>
      <c r="L34" s="11" t="str">
        <f t="shared" si="2"/>
        <v/>
      </c>
      <c r="M34" s="25" t="str">
        <f t="shared" si="3"/>
        <v/>
      </c>
      <c r="N34" s="28">
        <f>SUM($L$16:L34)</f>
        <v>0</v>
      </c>
      <c r="O34" s="14" t="str">
        <f>IFERROR(IF(AND(SUM($L$16:L34)&gt;115,SUM($L$16:$L$40)&gt;=120),SUM($M$16:M34)/SUM($L$16:L34),"&lt;120 ECTS"),"FEHLER")</f>
        <v>&lt;120 ECTS</v>
      </c>
      <c r="P34" s="32"/>
    </row>
    <row r="35" spans="1:16" x14ac:dyDescent="0.25">
      <c r="A35" s="17"/>
      <c r="B35" s="22"/>
      <c r="C35" s="34"/>
      <c r="D35" s="34"/>
      <c r="E35" s="34"/>
      <c r="F35" s="34"/>
      <c r="G35" s="18"/>
      <c r="H35" s="19"/>
      <c r="I35" s="10" t="str">
        <f t="shared" si="0"/>
        <v/>
      </c>
      <c r="J35" s="11" t="str">
        <f t="shared" si="1"/>
        <v/>
      </c>
      <c r="K35" s="27" t="str">
        <f>IFERROR(SMALL($I$16:$I$40,20),"")</f>
        <v/>
      </c>
      <c r="L35" s="11" t="str">
        <f t="shared" si="2"/>
        <v/>
      </c>
      <c r="M35" s="25" t="str">
        <f t="shared" si="3"/>
        <v/>
      </c>
      <c r="N35" s="28">
        <f>SUM($L$16:L35)</f>
        <v>0</v>
      </c>
      <c r="O35" s="14" t="str">
        <f>IFERROR(IF(AND(SUM($L$16:L35)&gt;115,SUM($L$16:$L$40)&gt;=120),SUM($M$16:M35)/SUM($L$16:L35),"&lt;120 ECTS"),"FEHLER")</f>
        <v>&lt;120 ECTS</v>
      </c>
      <c r="P35" s="32"/>
    </row>
    <row r="36" spans="1:16" x14ac:dyDescent="0.25">
      <c r="A36" s="17"/>
      <c r="B36" s="22"/>
      <c r="C36" s="34"/>
      <c r="D36" s="34"/>
      <c r="E36" s="34"/>
      <c r="F36" s="34"/>
      <c r="G36" s="18"/>
      <c r="H36" s="19"/>
      <c r="I36" s="10" t="str">
        <f t="shared" si="0"/>
        <v/>
      </c>
      <c r="J36" s="11" t="str">
        <f t="shared" si="1"/>
        <v/>
      </c>
      <c r="K36" s="27" t="str">
        <f>IFERROR(SMALL($I$16:$I$40,21),"")</f>
        <v/>
      </c>
      <c r="L36" s="11" t="str">
        <f t="shared" si="2"/>
        <v/>
      </c>
      <c r="M36" s="25" t="str">
        <f t="shared" si="3"/>
        <v/>
      </c>
      <c r="N36" s="28">
        <f>SUM($L$16:L36)</f>
        <v>0</v>
      </c>
      <c r="O36" s="14" t="str">
        <f>IFERROR(IF(AND(SUM($L$16:L36)&gt;115,SUM($L$16:$L$40)&gt;=120),SUM($M$16:M36)/SUM($L$16:L36),"&lt;120 ECTS"),"FEHLER")</f>
        <v>&lt;120 ECTS</v>
      </c>
      <c r="P36" s="32"/>
    </row>
    <row r="37" spans="1:16" x14ac:dyDescent="0.25">
      <c r="A37" s="17"/>
      <c r="B37" s="22"/>
      <c r="C37" s="34"/>
      <c r="D37" s="34"/>
      <c r="E37" s="34"/>
      <c r="F37" s="34"/>
      <c r="G37" s="18"/>
      <c r="H37" s="19"/>
      <c r="I37" s="10" t="str">
        <f t="shared" si="0"/>
        <v/>
      </c>
      <c r="J37" s="11" t="str">
        <f t="shared" si="1"/>
        <v/>
      </c>
      <c r="K37" s="27" t="str">
        <f>IFERROR(SMALL($I$16:$I$40,22),"")</f>
        <v/>
      </c>
      <c r="L37" s="11" t="str">
        <f t="shared" si="2"/>
        <v/>
      </c>
      <c r="M37" s="25" t="str">
        <f t="shared" si="3"/>
        <v/>
      </c>
      <c r="N37" s="28">
        <f>SUM($L$16:L37)</f>
        <v>0</v>
      </c>
      <c r="O37" s="14" t="str">
        <f>IFERROR(IF(AND(SUM($L$16:L37)&gt;115,SUM($L$16:$L$40)&gt;=120),SUM($M$16:M37)/SUM($L$16:L37),"&lt;120 ECTS"),"FEHLER")</f>
        <v>&lt;120 ECTS</v>
      </c>
      <c r="P37" s="32"/>
    </row>
    <row r="38" spans="1:16" x14ac:dyDescent="0.25">
      <c r="A38" s="17"/>
      <c r="B38" s="22"/>
      <c r="C38" s="34"/>
      <c r="D38" s="34"/>
      <c r="E38" s="34"/>
      <c r="F38" s="34"/>
      <c r="G38" s="18"/>
      <c r="H38" s="19"/>
      <c r="I38" s="10" t="str">
        <f t="shared" si="0"/>
        <v/>
      </c>
      <c r="J38" s="11" t="str">
        <f t="shared" si="1"/>
        <v/>
      </c>
      <c r="K38" s="27" t="str">
        <f>IFERROR(SMALL($I$16:$I$40,23),"")</f>
        <v/>
      </c>
      <c r="L38" s="11" t="str">
        <f t="shared" si="2"/>
        <v/>
      </c>
      <c r="M38" s="25" t="str">
        <f t="shared" si="3"/>
        <v/>
      </c>
      <c r="N38" s="28">
        <f>SUM($L$16:L38)</f>
        <v>0</v>
      </c>
      <c r="O38" s="14" t="str">
        <f>IFERROR(IF(AND(SUM($L$16:L38)&gt;115,SUM($L$16:$L$40)&gt;=120),SUM($M$16:M38)/SUM($L$16:L38),"&lt;120 ECTS"),"FEHLER")</f>
        <v>&lt;120 ECTS</v>
      </c>
      <c r="P38" s="32"/>
    </row>
    <row r="39" spans="1:16" x14ac:dyDescent="0.25">
      <c r="A39" s="17"/>
      <c r="B39" s="22"/>
      <c r="C39" s="34"/>
      <c r="D39" s="34"/>
      <c r="E39" s="34"/>
      <c r="F39" s="34"/>
      <c r="G39" s="18"/>
      <c r="H39" s="19"/>
      <c r="I39" s="10" t="str">
        <f t="shared" si="0"/>
        <v/>
      </c>
      <c r="J39" s="11" t="str">
        <f t="shared" si="1"/>
        <v/>
      </c>
      <c r="K39" s="27" t="str">
        <f>IFERROR(SMALL($I$16:$I$40,24),"")</f>
        <v/>
      </c>
      <c r="L39" s="11" t="str">
        <f t="shared" si="2"/>
        <v/>
      </c>
      <c r="M39" s="25" t="str">
        <f t="shared" si="3"/>
        <v/>
      </c>
      <c r="N39" s="28">
        <f>SUM($L$16:L39)</f>
        <v>0</v>
      </c>
      <c r="O39" s="14" t="str">
        <f>IFERROR(IF(AND(SUM($L$16:L39)&gt;115,SUM($L$16:$L$40)&gt;=120),SUM($M$16:M39)/SUM($L$16:L39),"&lt;120 ECTS"),"FEHLER")</f>
        <v>&lt;120 ECTS</v>
      </c>
      <c r="P39" s="32"/>
    </row>
    <row r="40" spans="1:16" ht="14.4" thickBot="1" x14ac:dyDescent="0.3">
      <c r="A40" s="20"/>
      <c r="B40" s="23"/>
      <c r="C40" s="35"/>
      <c r="D40" s="35"/>
      <c r="E40" s="35"/>
      <c r="F40" s="35"/>
      <c r="G40" s="21"/>
      <c r="H40" s="33"/>
      <c r="I40" s="10" t="str">
        <f t="shared" si="0"/>
        <v/>
      </c>
      <c r="J40" s="11" t="str">
        <f t="shared" si="1"/>
        <v/>
      </c>
      <c r="K40" s="27" t="str">
        <f>IFERROR(SMALL($I$16:$I$40,25),"")</f>
        <v/>
      </c>
      <c r="L40" s="11" t="str">
        <f t="shared" si="2"/>
        <v/>
      </c>
      <c r="M40" s="25" t="str">
        <f t="shared" si="3"/>
        <v/>
      </c>
      <c r="N40" s="28">
        <f>SUM($L$16:L40)</f>
        <v>0</v>
      </c>
      <c r="O40" s="14" t="str">
        <f>IFERROR(IF(AND(SUM($L$16:L40)&gt;115,SUM($L$16:$L$40)&gt;=120),SUM($M$16:M40)/SUM($L$16:L40),"&lt;120 ECTS"),"FEHLER")</f>
        <v>&lt;120 ECTS</v>
      </c>
      <c r="P40" s="32"/>
    </row>
    <row r="41" spans="1:16" ht="5.25" customHeight="1" thickBot="1" x14ac:dyDescent="0.3"/>
    <row r="42" spans="1:16" ht="14.25" customHeight="1" x14ac:dyDescent="0.25">
      <c r="A42" s="36" t="s">
        <v>15</v>
      </c>
      <c r="B42" s="37"/>
      <c r="C42" s="37"/>
      <c r="D42" s="7">
        <f>SUM(G16:G40)</f>
        <v>0</v>
      </c>
      <c r="F42" s="42" t="str">
        <f>IF(D42&lt;120,"Sie haben zu wenige Module eingegeben (vgl. Ausfüllhinweise) - bitte fügen Sie Module hinzu!",IF(AND(D42&gt;=120,D43="---"),"Sie haben zu wenige benotete Module eingegeben (vgl. Ausfüllhinweise) - bitte ergänzen Sie Ihre Noten!",IF(P19="ja","Eingaben ok","Eingaben ok - die Durchschnittsnote wird, bedingt durch die ECTS der eingetragenen Module, aus "&amp;P16&amp;" ECTS berechnet")))</f>
        <v>Sie haben zu wenige Module eingegeben (vgl. Ausfüllhinweise) - bitte fügen Sie Module hinzu!</v>
      </c>
      <c r="G42" s="43"/>
      <c r="H42" s="44"/>
    </row>
    <row r="43" spans="1:16" x14ac:dyDescent="0.25">
      <c r="A43" s="38" t="s">
        <v>27</v>
      </c>
      <c r="B43" s="39"/>
      <c r="C43" s="39"/>
      <c r="D43" s="8" t="str">
        <f>IF(ROUNDDOWN(MIN(O16:O40),1)=0,"---",IF(P19="ja",ROUNDDOWN(VLOOKUP(120,N16:O40,2,0),1),ROUNDDOWN(MIN(O16:O40),1)))</f>
        <v>---</v>
      </c>
      <c r="F43" s="45"/>
      <c r="G43" s="46"/>
      <c r="H43" s="47"/>
    </row>
    <row r="44" spans="1:16" ht="14.4" thickBot="1" x14ac:dyDescent="0.3">
      <c r="A44" s="40" t="s">
        <v>16</v>
      </c>
      <c r="B44" s="41"/>
      <c r="C44" s="41"/>
      <c r="D44" s="15" t="str">
        <f>IF(OR(D43&lt;1,D43&gt;4,D43="---"),"",IF(D43&lt;1.1,"30 (von 30)",IF(D43&lt;1.2,"29 (von 30)",IF(D43&lt;1.3,"28 (von 30)",IF(D43&lt;1.4,"27 (von 30)",IF(D43&lt;1.5,"26 (von 30)",IF(D43&lt;1.6,"25 (von 30)",IF(D43&lt;1.7,"24 (von 30)",IF(D43&lt;1.8,"23 (von 30)",IF(D43&lt;1.9,"22 (von 30)",IF(D43&lt;2,"21 (von 30)",IF(D43&lt;2.1,"20 (von 30)",IF(D43&lt;2.2,"19 (von 30)",IF(D43&lt;2.3,"18 (von 30)",IF(D43&lt;2.4,"17 (von 30)",IF(D43&lt;2.5,"16 (von 30)",IF(D43&lt;2.6,"15 (von 30)",IF(D43&lt;2.7,"14 (von 30)",IF(D43&lt;2.8,"13 (von 30)",IF(D43&lt;2.9,"12 (von 30)",IF(D43&lt;3,"11 (von 30)",IF(D43&lt;3.1,"10 (von 30)",IF(D43&lt;3.2,"9 (von 30)",IF(D43&lt;3.3,"8 (von 30)",IF(D43&lt;3.4,"7 (von 30)",IF(D43&lt;3.5,"6 (von 30)",IF(D43&lt;3.6,"5 (von 30)",IF(D43&lt;3.7,"4 (von 30)",IF(D43&lt;3.8,"3 (von 30)",IF(D43&lt;3.9,"2 (von 30)",IF(D43&lt;4,"1 (von 30)","0 (von 15)")))))))))))))))))))))))))))))))</f>
        <v/>
      </c>
      <c r="F44" s="48"/>
      <c r="G44" s="49"/>
      <c r="H44" s="50"/>
    </row>
  </sheetData>
  <sheetProtection algorithmName="SHA-512" hashValue="U9XFUgwK3zIGjD9nteL1QY7ACQTFOedVPUHBZxRnX1RdHeABQE68WJkpZOi914yU6pDu204NKiGdkkvNuoJWbA==" saltValue="/8GbAZSAKH6uZ/r3W4rVRw==" spinCount="100000" sheet="1" selectLockedCells="1"/>
  <sortState ref="A18:P42">
    <sortCondition ref="M18:M42"/>
  </sortState>
  <mergeCells count="48">
    <mergeCell ref="P17:P18"/>
    <mergeCell ref="A12:H12"/>
    <mergeCell ref="A13:H13"/>
    <mergeCell ref="B8:C8"/>
    <mergeCell ref="B9:C9"/>
    <mergeCell ref="B10:C10"/>
    <mergeCell ref="D8:E8"/>
    <mergeCell ref="D9:E9"/>
    <mergeCell ref="D10:E10"/>
    <mergeCell ref="F10:H10"/>
    <mergeCell ref="B7:C7"/>
    <mergeCell ref="D7:E7"/>
    <mergeCell ref="F7:H7"/>
    <mergeCell ref="F8:H8"/>
    <mergeCell ref="F9:H9"/>
    <mergeCell ref="A1:H2"/>
    <mergeCell ref="B4:H4"/>
    <mergeCell ref="B5:H5"/>
    <mergeCell ref="C26:F26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38:F38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9:F39"/>
    <mergeCell ref="C40:F40"/>
    <mergeCell ref="A42:C42"/>
    <mergeCell ref="A43:C43"/>
    <mergeCell ref="A44:C44"/>
    <mergeCell ref="F42:H44"/>
  </mergeCells>
  <conditionalFormatting sqref="F42:H44">
    <cfRule type="containsText" dxfId="9" priority="3" operator="containsText" text="Sie haben zu wenige benotete Module eingegeben (vgl. Ausfüllhinweise) - bitte ergänzen Sie Ihre Noten!">
      <formula>NOT(ISERROR(SEARCH("Sie haben zu wenige benotete Module eingegeben (vgl. Ausfüllhinweise) - bitte ergänzen Sie Ihre Noten!",F42)))</formula>
    </cfRule>
    <cfRule type="containsText" dxfId="8" priority="8" operator="containsText" text="ok">
      <formula>NOT(ISERROR(SEARCH("ok",F42)))</formula>
    </cfRule>
    <cfRule type="containsText" dxfId="7" priority="9" operator="containsText" text="Sie haben zu wenige Module eingegeben (vgl. Ausfüllhinweise) - bitte fügen Sie Module hinzu!">
      <formula>NOT(ISERROR(SEARCH("Sie haben zu wenige Module eingegeben (vgl. Ausfüllhinweise) - bitte fügen Sie Module hinzu!",F42)))</formula>
    </cfRule>
    <cfRule type="containsText" dxfId="6" priority="10" operator="containsText" text="Bitte überprüfen Sie, ob Sie zu viele Module eingegeben haben! (vgl. Ausfüllhinweise)">
      <formula>NOT(ISERROR(SEARCH("Bitte überprüfen Sie, ob Sie zu viele Module eingegeben haben! (vgl. Ausfüllhinweise)",F42)))</formula>
    </cfRule>
  </conditionalFormatting>
  <conditionalFormatting sqref="D44">
    <cfRule type="containsText" dxfId="5" priority="7" operator="containsText" text="Eingabefehler!">
      <formula>NOT(ISERROR(SEARCH("Eingabefehler!",D44)))</formula>
    </cfRule>
  </conditionalFormatting>
  <conditionalFormatting sqref="O16:O40">
    <cfRule type="containsText" dxfId="4" priority="6" operator="containsText" text="&lt;100 ECTS">
      <formula>NOT(ISERROR(SEARCH("&lt;100 ECTS",O16)))</formula>
    </cfRule>
  </conditionalFormatting>
  <conditionalFormatting sqref="P19">
    <cfRule type="containsText" dxfId="3" priority="4" operator="containsText" text="ja">
      <formula>NOT(ISERROR(SEARCH("ja",P19)))</formula>
    </cfRule>
    <cfRule type="containsText" dxfId="2" priority="5" operator="containsText" text="nein">
      <formula>NOT(ISERROR(SEARCH("nein",P19)))</formula>
    </cfRule>
  </conditionalFormatting>
  <conditionalFormatting sqref="O16">
    <cfRule type="containsText" dxfId="1" priority="2" operator="containsText" text="&lt;120 ECTS">
      <formula>NOT(ISERROR(SEARCH("&lt;120 ECTS",O16)))</formula>
    </cfRule>
  </conditionalFormatting>
  <conditionalFormatting sqref="O17:O40">
    <cfRule type="containsText" dxfId="0" priority="1" operator="containsText" text="&lt;120 ECTS">
      <formula>NOT(ISERROR(SEARCH("&lt;120 ECTS",O17)))</formula>
    </cfRule>
  </conditionalFormatting>
  <dataValidations count="6">
    <dataValidation type="list" allowBlank="1" showInputMessage="1" showErrorMessage="1" sqref="A16:A40">
      <formula1>"1, 2, 3"</formula1>
    </dataValidation>
    <dataValidation type="decimal" allowBlank="1" showInputMessage="1" showErrorMessage="1" sqref="H16:H40">
      <formula1>1</formula1>
      <formula2>4.5</formula2>
    </dataValidation>
    <dataValidation type="decimal" allowBlank="1" showInputMessage="1" showErrorMessage="1" sqref="G16:G40">
      <formula1>1</formula1>
      <formula2>100</formula2>
    </dataValidation>
    <dataValidation type="date" operator="greaterThan" allowBlank="1" showInputMessage="1" showErrorMessage="1" sqref="B5:H5">
      <formula1>43739</formula1>
    </dataValidation>
    <dataValidation type="custom" allowBlank="1" showInputMessage="1" showErrorMessage="1" errorTitle="MODUL BEREITS VORHANDEN!" error="Dieser Modultitel wurde bereits eingegeben." sqref="C16:F40">
      <formula1>COUNTIF($C$16:$F$40,C16)&lt;=1</formula1>
    </dataValidation>
    <dataValidation type="custom" allowBlank="1" showInputMessage="1" showErrorMessage="1" errorTitle="MODULNUMMER BEREITS VORHANDEN!" error="Diese Modulnummer wurde bereits eingegeben!" sqref="B16:B40">
      <formula1>COUNTIF($B$16:$B$40,B16)&lt;=1</formula1>
    </dataValidation>
  </dataValidations>
  <pageMargins left="0.25" right="0.25" top="0.75" bottom="0.75" header="0.3" footer="0.3"/>
  <pageSetup paperSize="9" orientation="portrait" r:id="rId1"/>
  <headerFooter>
    <oddHeader>&amp;L&amp;G&amp;C&amp;"Arial,Fett"&amp;8&amp;K0070C0Masterstudiengänge Wirtschaftspädagogik
&amp;"Arial,Standard"Technische Universität München&amp;R&amp;G</oddHeader>
    <oddFooter>&amp;L&amp;"Arial,Standard"&amp;8&amp;K0070C0&amp;A&amp;R&amp;"Arial,Standard"&amp;8&amp;K0070C0&amp;P/&amp;N</oddFooter>
  </headerFooter>
  <ignoredErrors>
    <ignoredError sqref="A8:A10" numberStoredAsText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Notenberechnung Wipäd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Mordstein</dc:creator>
  <cp:lastModifiedBy>TUEDFEDPC</cp:lastModifiedBy>
  <cp:lastPrinted>2020-10-08T10:41:31Z</cp:lastPrinted>
  <dcterms:created xsi:type="dcterms:W3CDTF">2019-09-11T12:30:11Z</dcterms:created>
  <dcterms:modified xsi:type="dcterms:W3CDTF">2020-11-06T08:38:08Z</dcterms:modified>
</cp:coreProperties>
</file>